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oleObject"/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929"/>
  <workbookPr autoCompressPictures="0"/>
  <bookViews>
    <workbookView xWindow="480" yWindow="120" windowWidth="27120" windowHeight="14720"/>
  </bookViews>
  <sheets>
    <sheet name="Calc Incert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9" i="4" l="1"/>
  <c r="G114" i="4"/>
  <c r="G109" i="4"/>
  <c r="G104" i="4"/>
  <c r="G99" i="4"/>
  <c r="G94" i="4"/>
  <c r="G89" i="4"/>
  <c r="G84" i="4"/>
  <c r="G79" i="4"/>
  <c r="G74" i="4"/>
  <c r="G69" i="4"/>
  <c r="G64" i="4"/>
  <c r="G59" i="4"/>
  <c r="G54" i="4"/>
  <c r="G49" i="4"/>
  <c r="G44" i="4"/>
  <c r="G39" i="4"/>
  <c r="G34" i="4"/>
  <c r="G29" i="4"/>
  <c r="G24" i="4"/>
  <c r="G19" i="4"/>
  <c r="G14" i="4"/>
  <c r="B124" i="4"/>
  <c r="G123" i="4"/>
  <c r="H123" i="4"/>
  <c r="H124" i="4"/>
  <c r="K124" i="4"/>
  <c r="H119" i="4"/>
  <c r="H109" i="4"/>
  <c r="H104" i="4"/>
  <c r="H99" i="4"/>
  <c r="H94" i="4"/>
  <c r="H89" i="4"/>
  <c r="H84" i="4"/>
  <c r="H79" i="4"/>
  <c r="H74" i="4"/>
  <c r="H69" i="4"/>
  <c r="H64" i="4"/>
  <c r="H59" i="4"/>
  <c r="H54" i="4"/>
  <c r="H49" i="4"/>
  <c r="H44" i="4"/>
  <c r="H39" i="4"/>
  <c r="H34" i="4"/>
  <c r="H29" i="4"/>
  <c r="H24" i="4"/>
  <c r="B110" i="4"/>
  <c r="C108" i="4"/>
  <c r="H108" i="4"/>
  <c r="H110" i="4"/>
  <c r="B105" i="4"/>
  <c r="C103" i="4"/>
  <c r="H103" i="4"/>
  <c r="H105" i="4"/>
  <c r="B100" i="4"/>
  <c r="C98" i="4"/>
  <c r="H98" i="4"/>
  <c r="H100" i="4"/>
  <c r="B95" i="4"/>
  <c r="C93" i="4"/>
  <c r="H93" i="4"/>
  <c r="H95" i="4"/>
  <c r="B90" i="4"/>
  <c r="C88" i="4"/>
  <c r="H88" i="4"/>
  <c r="H90" i="4"/>
  <c r="B85" i="4"/>
  <c r="C83" i="4"/>
  <c r="H83" i="4"/>
  <c r="H85" i="4"/>
  <c r="B80" i="4"/>
  <c r="C78" i="4"/>
  <c r="H78" i="4"/>
  <c r="H80" i="4"/>
  <c r="B75" i="4"/>
  <c r="C73" i="4"/>
  <c r="H73" i="4"/>
  <c r="H75" i="4"/>
  <c r="B70" i="4"/>
  <c r="C68" i="4"/>
  <c r="H68" i="4"/>
  <c r="H70" i="4"/>
  <c r="B65" i="4"/>
  <c r="C63" i="4"/>
  <c r="H63" i="4"/>
  <c r="H65" i="4"/>
  <c r="B60" i="4"/>
  <c r="C58" i="4"/>
  <c r="H58" i="4"/>
  <c r="H60" i="4"/>
  <c r="B55" i="4"/>
  <c r="C53" i="4"/>
  <c r="H53" i="4"/>
  <c r="H55" i="4"/>
  <c r="B50" i="4"/>
  <c r="C48" i="4"/>
  <c r="H48" i="4"/>
  <c r="B45" i="4"/>
  <c r="C43" i="4"/>
  <c r="H43" i="4"/>
  <c r="H45" i="4"/>
  <c r="B40" i="4"/>
  <c r="C38" i="4"/>
  <c r="H38" i="4"/>
  <c r="H40" i="4"/>
  <c r="B35" i="4"/>
  <c r="C33" i="4"/>
  <c r="H33" i="4"/>
  <c r="H35" i="4"/>
  <c r="B30" i="4"/>
  <c r="C28" i="4"/>
  <c r="H28" i="4"/>
  <c r="H30" i="4"/>
  <c r="B25" i="4"/>
  <c r="C23" i="4"/>
  <c r="H23" i="4"/>
  <c r="H25" i="4"/>
  <c r="H50" i="4"/>
  <c r="K110" i="4"/>
  <c r="K95" i="4"/>
  <c r="K90" i="4"/>
  <c r="K70" i="4"/>
  <c r="K65" i="4"/>
  <c r="K60" i="4"/>
  <c r="K40" i="4"/>
  <c r="K35" i="4"/>
  <c r="K25" i="4"/>
  <c r="K50" i="4"/>
  <c r="K55" i="4"/>
  <c r="K75" i="4"/>
  <c r="K80" i="4"/>
  <c r="K85" i="4"/>
  <c r="K100" i="4"/>
  <c r="K105" i="4"/>
  <c r="K45" i="4"/>
  <c r="K30" i="4"/>
  <c r="B120" i="4"/>
  <c r="C118" i="4"/>
  <c r="H118" i="4"/>
  <c r="H120" i="4"/>
  <c r="K120" i="4"/>
  <c r="B115" i="4"/>
  <c r="H114" i="4"/>
  <c r="H14" i="4"/>
  <c r="B15" i="4"/>
  <c r="C13" i="4"/>
  <c r="H13" i="4"/>
  <c r="H15" i="4"/>
  <c r="K15" i="4"/>
  <c r="H19" i="4"/>
  <c r="B20" i="4"/>
  <c r="C18" i="4"/>
  <c r="H18" i="4"/>
  <c r="B133" i="4"/>
  <c r="C113" i="4"/>
  <c r="H113" i="4"/>
  <c r="H115" i="4"/>
  <c r="K115" i="4"/>
  <c r="H20" i="4"/>
  <c r="K20" i="4"/>
  <c r="I124" i="4"/>
  <c r="J124" i="4"/>
  <c r="L124" i="4"/>
  <c r="I114" i="4"/>
  <c r="J114" i="4"/>
  <c r="L114" i="4"/>
  <c r="I118" i="4"/>
  <c r="J118" i="4"/>
  <c r="L118" i="4"/>
  <c r="I119" i="4"/>
  <c r="I109" i="4"/>
  <c r="J109" i="4"/>
  <c r="I108" i="4"/>
  <c r="J108" i="4"/>
  <c r="I105" i="4"/>
  <c r="J105" i="4"/>
  <c r="I99" i="4"/>
  <c r="J99" i="4"/>
  <c r="I98" i="4"/>
  <c r="J98" i="4"/>
  <c r="I95" i="4"/>
  <c r="J95" i="4"/>
  <c r="I89" i="4"/>
  <c r="J89" i="4"/>
  <c r="I88" i="4"/>
  <c r="J88" i="4"/>
  <c r="I85" i="4"/>
  <c r="J85" i="4"/>
  <c r="I79" i="4"/>
  <c r="J79" i="4"/>
  <c r="I78" i="4"/>
  <c r="J78" i="4"/>
  <c r="I75" i="4"/>
  <c r="J75" i="4"/>
  <c r="I69" i="4"/>
  <c r="J69" i="4"/>
  <c r="I68" i="4"/>
  <c r="J68" i="4"/>
  <c r="I65" i="4"/>
  <c r="J65" i="4"/>
  <c r="I59" i="4"/>
  <c r="J59" i="4"/>
  <c r="I58" i="4"/>
  <c r="J58" i="4"/>
  <c r="I55" i="4"/>
  <c r="J55" i="4"/>
  <c r="I49" i="4"/>
  <c r="J49" i="4"/>
  <c r="I48" i="4"/>
  <c r="J48" i="4"/>
  <c r="I45" i="4"/>
  <c r="J45" i="4"/>
  <c r="I39" i="4"/>
  <c r="J39" i="4"/>
  <c r="I38" i="4"/>
  <c r="J38" i="4"/>
  <c r="I35" i="4"/>
  <c r="J35" i="4"/>
  <c r="I29" i="4"/>
  <c r="J29" i="4"/>
  <c r="I28" i="4"/>
  <c r="J28" i="4"/>
  <c r="I25" i="4"/>
  <c r="J25" i="4"/>
  <c r="I19" i="4"/>
  <c r="J19" i="4"/>
  <c r="L19" i="4"/>
  <c r="I14" i="4"/>
  <c r="J14" i="4"/>
  <c r="L14" i="4"/>
  <c r="I123" i="4"/>
  <c r="J123" i="4"/>
  <c r="I115" i="4"/>
  <c r="I113" i="4"/>
  <c r="I120" i="4"/>
  <c r="J120" i="4"/>
  <c r="L120" i="4"/>
  <c r="I110" i="4"/>
  <c r="J110" i="4"/>
  <c r="I104" i="4"/>
  <c r="J104" i="4"/>
  <c r="I103" i="4"/>
  <c r="J103" i="4"/>
  <c r="L103" i="4"/>
  <c r="I100" i="4"/>
  <c r="J100" i="4"/>
  <c r="I94" i="4"/>
  <c r="J94" i="4"/>
  <c r="I93" i="4"/>
  <c r="J93" i="4"/>
  <c r="I90" i="4"/>
  <c r="J90" i="4"/>
  <c r="I84" i="4"/>
  <c r="J84" i="4"/>
  <c r="I83" i="4"/>
  <c r="J83" i="4"/>
  <c r="I80" i="4"/>
  <c r="J80" i="4"/>
  <c r="I74" i="4"/>
  <c r="J74" i="4"/>
  <c r="I73" i="4"/>
  <c r="J73" i="4"/>
  <c r="I70" i="4"/>
  <c r="J70" i="4"/>
  <c r="I64" i="4"/>
  <c r="J64" i="4"/>
  <c r="I63" i="4"/>
  <c r="J63" i="4"/>
  <c r="L63" i="4"/>
  <c r="I60" i="4"/>
  <c r="J60" i="4"/>
  <c r="I54" i="4"/>
  <c r="J54" i="4"/>
  <c r="I53" i="4"/>
  <c r="J53" i="4"/>
  <c r="I50" i="4"/>
  <c r="J50" i="4"/>
  <c r="I44" i="4"/>
  <c r="J44" i="4"/>
  <c r="I43" i="4"/>
  <c r="J43" i="4"/>
  <c r="I40" i="4"/>
  <c r="J40" i="4"/>
  <c r="I34" i="4"/>
  <c r="J34" i="4"/>
  <c r="I33" i="4"/>
  <c r="J33" i="4"/>
  <c r="I30" i="4"/>
  <c r="J30" i="4"/>
  <c r="L30" i="4"/>
  <c r="I24" i="4"/>
  <c r="J24" i="4"/>
  <c r="I23" i="4"/>
  <c r="J23" i="4"/>
  <c r="I20" i="4"/>
  <c r="I18" i="4"/>
  <c r="J18" i="4"/>
  <c r="L18" i="4"/>
  <c r="I15" i="4"/>
  <c r="J15" i="4"/>
  <c r="I13" i="4"/>
  <c r="J13" i="4"/>
  <c r="L13" i="4"/>
  <c r="L110" i="4"/>
  <c r="L28" i="4"/>
  <c r="L35" i="4"/>
  <c r="L24" i="4"/>
  <c r="L33" i="4"/>
  <c r="L39" i="4"/>
  <c r="L43" i="4"/>
  <c r="L45" i="4"/>
  <c r="L73" i="4"/>
  <c r="L83" i="4"/>
  <c r="L49" i="4"/>
  <c r="L54" i="4"/>
  <c r="L58" i="4"/>
  <c r="L60" i="4"/>
  <c r="L65" i="4"/>
  <c r="L70" i="4"/>
  <c r="L75" i="4"/>
  <c r="L80" i="4"/>
  <c r="L85" i="4"/>
  <c r="L89" i="4"/>
  <c r="L94" i="4"/>
  <c r="L98" i="4"/>
  <c r="L100" i="4"/>
  <c r="L105" i="4"/>
  <c r="L109" i="4"/>
  <c r="L29" i="4"/>
  <c r="L34" i="4"/>
  <c r="L23" i="4"/>
  <c r="L25" i="4"/>
  <c r="L38" i="4"/>
  <c r="L40" i="4"/>
  <c r="L44" i="4"/>
  <c r="L53" i="4"/>
  <c r="L68" i="4"/>
  <c r="L78" i="4"/>
  <c r="L93" i="4"/>
  <c r="C126" i="4"/>
  <c r="H126" i="4"/>
  <c r="J126" i="4"/>
  <c r="L48" i="4"/>
  <c r="L50" i="4"/>
  <c r="L55" i="4"/>
  <c r="L59" i="4"/>
  <c r="L64" i="4"/>
  <c r="L69" i="4"/>
  <c r="L74" i="4"/>
  <c r="L79" i="4"/>
  <c r="L84" i="4"/>
  <c r="L88" i="4"/>
  <c r="L90" i="4"/>
  <c r="L95" i="4"/>
  <c r="L99" i="4"/>
  <c r="L104" i="4"/>
  <c r="L108" i="4"/>
  <c r="J119" i="4"/>
  <c r="L119" i="4"/>
  <c r="J115" i="4"/>
  <c r="J113" i="4"/>
  <c r="L113" i="4"/>
  <c r="L15" i="4"/>
  <c r="J20" i="4"/>
  <c r="L20" i="4"/>
  <c r="L115" i="4"/>
  <c r="B146" i="4"/>
  <c r="B147" i="4"/>
  <c r="J128" i="4"/>
  <c r="C133" i="4"/>
  <c r="B144" i="4"/>
  <c r="L126" i="4"/>
  <c r="L128" i="4"/>
  <c r="D133" i="4"/>
  <c r="L123" i="4"/>
  <c r="B145" i="4"/>
  <c r="K133" i="4"/>
  <c r="B143" i="4"/>
  <c r="H133" i="4"/>
  <c r="J133" i="4"/>
  <c r="L133" i="4"/>
</calcChain>
</file>

<file path=xl/comments1.xml><?xml version="1.0" encoding="utf-8"?>
<comments xmlns="http://schemas.openxmlformats.org/spreadsheetml/2006/main">
  <authors>
    <author>Welington F. de MAGALHÃES</author>
    <author>Welington F. MAGALHÃES</author>
  </authors>
  <commentList>
    <comment ref="A1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1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1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1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1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1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2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2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2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2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2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2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2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3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3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3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3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3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3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3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3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4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4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4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4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4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4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4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5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5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5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5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5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5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5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5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5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5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5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5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6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6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6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6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6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6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6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6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6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6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6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6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6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7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7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7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7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7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7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7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7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7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7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7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7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7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7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8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8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8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8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8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8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8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8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8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8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8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8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8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8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9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9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9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9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9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9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9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9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9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9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9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9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9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9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10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recipiente de pesagem e da amostra.  Unidades: g</t>
        </r>
      </text>
    </comment>
    <comment ref="B10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10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10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10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10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10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10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recipiente de pesagem vazio.  Unidades: g</t>
        </r>
      </text>
    </comment>
    <comment ref="B10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10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34 do artigo.</t>
        </r>
      </text>
    </comment>
    <comment ref="G10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10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10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10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112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bruta do cadinho de Gooch e do sedimento.  Unidades: g</t>
        </r>
      </text>
    </comment>
    <comment ref="B11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11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33 do artigo.</t>
        </r>
      </text>
    </comment>
    <comment ref="G11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11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114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analítica digital (Tabela 2).</t>
        </r>
      </text>
    </comment>
    <comment ref="G114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117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massa de tara do cadinho de Gooch vazio.  Unidades: g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</t>
        </r>
        <r>
          <rPr>
            <b/>
            <sz val="8"/>
            <color indexed="81"/>
            <rFont val="Tahoma"/>
            <family val="2"/>
          </rPr>
          <t>pode ser nulo ou não</t>
        </r>
        <r>
          <rPr>
            <sz val="8"/>
            <color indexed="81"/>
            <rFont val="Tahoma"/>
            <family val="2"/>
          </rPr>
          <t>, seu valor encontra-se no certificado de calibração do instrumento de medição.  No caso de não se corrigir o valor nominal do instrumento ele é nulo.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Valor da incerteza padrão estimada de acordo com a Equação 33 do artigo.</t>
        </r>
      </text>
    </comment>
    <comment ref="G118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O artigo utilizou um modelo de interpolação da incerteza padrão de calibração ajustado às incertezas expandidas dividas por suas respectivas constantes de abrangência.</t>
        </r>
      </text>
    </comment>
    <comment ref="B11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119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analítica digital (Tabela 2).</t>
        </r>
      </text>
    </comment>
    <comment ref="G119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C123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Resolução da balança semi-analítica digital (Tabela 2).</t>
        </r>
      </text>
    </comment>
    <comment ref="G123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raiz(3) é o divisor da meia largura </t>
        </r>
        <r>
          <rPr>
            <i/>
            <sz val="9"/>
            <color indexed="81"/>
            <rFont val="Times New Roman"/>
            <family val="1"/>
          </rPr>
          <t>a</t>
        </r>
        <r>
          <rPr>
            <sz val="9"/>
            <color indexed="81"/>
            <rFont val="Tahoma"/>
            <charset val="1"/>
          </rPr>
          <t xml:space="preserve"> da fdp retangular</t>
        </r>
      </text>
    </comment>
    <comment ref="A126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Correção nula da incerteza de precisão intermediária.  Unidades: mg/kg</t>
        </r>
      </text>
    </comment>
    <comment ref="B126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Esse valor é sempre nulo.</t>
        </r>
      </text>
    </comment>
    <comment ref="C126" authorId="0">
      <text>
        <r>
          <rPr>
            <b/>
            <sz val="8"/>
            <color indexed="81"/>
            <rFont val="Tahoma"/>
            <family val="2"/>
          </rPr>
          <t>Welington F. de MAGALHÃES:</t>
        </r>
        <r>
          <rPr>
            <sz val="8"/>
            <color indexed="81"/>
            <rFont val="Tahoma"/>
            <family val="2"/>
          </rPr>
          <t xml:space="preserve">
Incerteza da correção de precisão intermediária obtida pela Equação 9 do artigo.</t>
        </r>
      </text>
    </comment>
    <comment ref="G126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Número de replicações da amostra de ensaio.</t>
        </r>
      </text>
    </comment>
    <comment ref="K126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Como discutido na seção 12 no material sulementar MS1 a melhor atribuição para o grau de liberdade da precisão intermediária é o número de replicações da amostra de ensaio na rotina. Isso pode levar a incertezas expandidas muito altas no presente caso.
O valor 6 nessa célula corresponde à opção não tão conservadora e igual ao grau de liberdade do ajuste da função de </t>
        </r>
        <r>
          <rPr>
            <i/>
            <sz val="9"/>
            <color indexed="81"/>
            <rFont val="Tahoma"/>
            <family val="2"/>
          </rPr>
          <t>C</t>
        </r>
        <r>
          <rPr>
            <vertAlign val="subscript"/>
            <sz val="9"/>
            <color indexed="81"/>
            <rFont val="Tahoma"/>
            <family val="2"/>
          </rPr>
          <t>p</t>
        </r>
        <r>
          <rPr>
            <sz val="9"/>
            <color indexed="81"/>
            <rFont val="Tahoma"/>
            <charset val="1"/>
          </rPr>
          <t xml:space="preserve"> com </t>
        </r>
        <r>
          <rPr>
            <i/>
            <sz val="9"/>
            <color indexed="81"/>
            <rFont val="Tahoma"/>
            <family val="2"/>
          </rPr>
          <t>C</t>
        </r>
        <r>
          <rPr>
            <vertAlign val="subscript"/>
            <sz val="9"/>
            <color indexed="81"/>
            <rFont val="Tahoma"/>
            <family val="2"/>
          </rPr>
          <t>SS</t>
        </r>
        <r>
          <rPr>
            <sz val="9"/>
            <color indexed="81"/>
            <rFont val="Tahoma"/>
            <charset val="1"/>
          </rPr>
          <t>.</t>
        </r>
      </text>
    </comment>
    <comment ref="J128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Variância combinada do mensurando, que é a soma dos quadrados das contribuições de incerteza para a incerteza do mensurando (lei de propagação das variâncias).</t>
        </r>
      </text>
    </comment>
    <comment ref="L128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Soma no deominador da equação de Welch-Satherthwaite.</t>
        </r>
      </text>
    </comment>
    <comment ref="C131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 quadrada da variância combinada do mensurando.</t>
        </r>
      </text>
    </comment>
    <comment ref="D131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Equação de Welch-Satherthwaite.</t>
        </r>
      </text>
    </comment>
    <comment ref="H131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Valor da variàvel de </t>
        </r>
        <r>
          <rPr>
            <i/>
            <sz val="9"/>
            <color indexed="81"/>
            <rFont val="Tahoma"/>
            <family val="2"/>
          </rPr>
          <t>t</t>
        </r>
        <r>
          <rPr>
            <sz val="9"/>
            <color indexed="81"/>
            <rFont val="Tahoma"/>
            <charset val="1"/>
          </rPr>
          <t xml:space="preserve"> de student para grau de liberdade </t>
        </r>
        <r>
          <rPr>
            <i/>
            <sz val="9"/>
            <color indexed="81"/>
            <rFont val="Symbol"/>
            <family val="1"/>
            <charset val="2"/>
          </rPr>
          <t>n</t>
        </r>
        <r>
          <rPr>
            <vertAlign val="subscript"/>
            <sz val="9"/>
            <color indexed="81"/>
            <rFont val="Tahoma"/>
            <family val="2"/>
          </rPr>
          <t>ef</t>
        </r>
        <r>
          <rPr>
            <sz val="9"/>
            <color indexed="81"/>
            <rFont val="Tahoma"/>
            <charset val="1"/>
          </rPr>
          <t xml:space="preserve"> e probabilidade de abrangência </t>
        </r>
        <r>
          <rPr>
            <i/>
            <sz val="9"/>
            <color indexed="81"/>
            <rFont val="Tahoma"/>
            <family val="2"/>
          </rPr>
          <t>P</t>
        </r>
        <r>
          <rPr>
            <sz val="9"/>
            <color indexed="81"/>
            <rFont val="Tahoma"/>
            <charset val="1"/>
          </rPr>
          <t>.</t>
        </r>
      </text>
    </comment>
    <comment ref="J131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Produto da incerteza padrão combinada do mensurando pelo fator de abrangência para P% de probabilidade de abrangência.</t>
        </r>
      </text>
    </comment>
    <comment ref="C133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Raiz quadrada da variância combinada do mensurando.</t>
        </r>
      </text>
    </comment>
    <comment ref="D133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Equação de Welch-Satherthwaite.</t>
        </r>
      </text>
    </comment>
    <comment ref="H133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Valor da variàvel de </t>
        </r>
        <r>
          <rPr>
            <i/>
            <sz val="9"/>
            <color indexed="81"/>
            <rFont val="Tahoma"/>
            <family val="2"/>
          </rPr>
          <t>t</t>
        </r>
        <r>
          <rPr>
            <sz val="9"/>
            <color indexed="81"/>
            <rFont val="Tahoma"/>
            <charset val="1"/>
          </rPr>
          <t xml:space="preserve"> de student para grau de liberdade </t>
        </r>
        <r>
          <rPr>
            <i/>
            <sz val="9"/>
            <color indexed="81"/>
            <rFont val="Symbol"/>
            <family val="1"/>
            <charset val="2"/>
          </rPr>
          <t>n</t>
        </r>
        <r>
          <rPr>
            <vertAlign val="subscript"/>
            <sz val="9"/>
            <color indexed="81"/>
            <rFont val="Tahoma"/>
            <family val="2"/>
          </rPr>
          <t>ef</t>
        </r>
        <r>
          <rPr>
            <sz val="9"/>
            <color indexed="81"/>
            <rFont val="Tahoma"/>
            <charset val="1"/>
          </rPr>
          <t xml:space="preserve"> e probabilidade de abrangência </t>
        </r>
        <r>
          <rPr>
            <i/>
            <sz val="9"/>
            <color indexed="81"/>
            <rFont val="Tahoma"/>
            <family val="2"/>
          </rPr>
          <t>P</t>
        </r>
        <r>
          <rPr>
            <sz val="9"/>
            <color indexed="81"/>
            <rFont val="Tahoma"/>
            <charset val="1"/>
          </rPr>
          <t>.</t>
        </r>
      </text>
    </comment>
    <comment ref="J133" authorId="1">
      <text>
        <r>
          <rPr>
            <b/>
            <sz val="9"/>
            <color indexed="81"/>
            <rFont val="Tahoma"/>
            <charset val="1"/>
          </rPr>
          <t>Welington F. MAGALHÃES:</t>
        </r>
        <r>
          <rPr>
            <sz val="9"/>
            <color indexed="81"/>
            <rFont val="Tahoma"/>
            <charset val="1"/>
          </rPr>
          <t xml:space="preserve">
Produto da incerteza padrão combinada do mensurando pelo fator de abrangência para P% de probabilidade de abrangência.</t>
        </r>
      </text>
    </comment>
  </commentList>
</comments>
</file>

<file path=xl/sharedStrings.xml><?xml version="1.0" encoding="utf-8"?>
<sst xmlns="http://schemas.openxmlformats.org/spreadsheetml/2006/main" count="352" uniqueCount="110">
  <si>
    <t>Variação de temperaura do Lab.:     +-</t>
  </si>
  <si>
    <t>Observações:</t>
  </si>
  <si>
    <t>mg/kg</t>
  </si>
  <si>
    <t>CVE</t>
  </si>
  <si>
    <t>RSD = CV</t>
  </si>
  <si>
    <r>
      <t>U</t>
    </r>
    <r>
      <rPr>
        <sz val="11"/>
        <color theme="1"/>
        <rFont val="Calibri"/>
        <family val="2"/>
        <scheme val="minor"/>
      </rPr>
      <t>(</t>
    </r>
    <r>
      <rPr>
        <i/>
        <sz val="10"/>
        <rFont val="Arial"/>
        <family val="2"/>
      </rPr>
      <t>y</t>
    </r>
    <r>
      <rPr>
        <sz val="11"/>
        <color theme="1"/>
        <rFont val="Calibri"/>
        <family val="2"/>
        <scheme val="minor"/>
      </rPr>
      <t>)</t>
    </r>
  </si>
  <si>
    <t>k</t>
  </si>
  <si>
    <r>
      <t>P</t>
    </r>
    <r>
      <rPr>
        <sz val="11"/>
        <color theme="1"/>
        <rFont val="Calibri"/>
        <family val="2"/>
        <scheme val="minor"/>
      </rPr>
      <t xml:space="preserve"> / %</t>
    </r>
  </si>
  <si>
    <r>
      <rPr>
        <i/>
        <sz val="10"/>
        <rFont val="Symbol"/>
        <family val="1"/>
        <charset val="2"/>
      </rPr>
      <t>n</t>
    </r>
    <r>
      <rPr>
        <i/>
        <vertAlign val="subscript"/>
        <sz val="10"/>
        <rFont val="Arial"/>
        <family val="2"/>
      </rPr>
      <t>ef</t>
    </r>
  </si>
  <si>
    <r>
      <t>u</t>
    </r>
    <r>
      <rPr>
        <i/>
        <vertAlign val="subscript"/>
        <sz val="10"/>
        <rFont val="Arial"/>
        <family val="2"/>
      </rPr>
      <t>c</t>
    </r>
    <r>
      <rPr>
        <sz val="11"/>
        <color theme="1"/>
        <rFont val="Calibri"/>
        <family val="2"/>
        <scheme val="minor"/>
      </rPr>
      <t>(</t>
    </r>
    <r>
      <rPr>
        <i/>
        <sz val="10"/>
        <rFont val="Arial"/>
        <family val="2"/>
      </rPr>
      <t>y</t>
    </r>
    <r>
      <rPr>
        <sz val="11"/>
        <color theme="1"/>
        <rFont val="Calibri"/>
        <family val="2"/>
        <scheme val="minor"/>
      </rPr>
      <t>)</t>
    </r>
  </si>
  <si>
    <t>y</t>
  </si>
  <si>
    <t>Y</t>
  </si>
  <si>
    <t>Incerteza expandida relativa %</t>
  </si>
  <si>
    <t>Incerteza padrão relativa %</t>
  </si>
  <si>
    <t>Incerteza expandida</t>
  </si>
  <si>
    <t>Fator de abrangência</t>
  </si>
  <si>
    <t>Probabilidade de abrangência</t>
  </si>
  <si>
    <t>Graus de liberdade efetivos</t>
  </si>
  <si>
    <t>Incerteza padrão combinada</t>
  </si>
  <si>
    <t>Valor Estimado</t>
  </si>
  <si>
    <t>Soma</t>
  </si>
  <si>
    <t>Normal</t>
  </si>
  <si>
    <t>A</t>
  </si>
  <si>
    <t>Retangular</t>
  </si>
  <si>
    <t>B</t>
  </si>
  <si>
    <r>
      <t>C</t>
    </r>
    <r>
      <rPr>
        <i/>
        <vertAlign val="subscript"/>
        <sz val="10"/>
        <rFont val="Arial"/>
        <family val="2"/>
      </rPr>
      <t>resol</t>
    </r>
  </si>
  <si>
    <r>
      <t>C</t>
    </r>
    <r>
      <rPr>
        <i/>
        <vertAlign val="subscript"/>
        <sz val="10"/>
        <rFont val="Arial"/>
        <family val="2"/>
      </rPr>
      <t>calib</t>
    </r>
  </si>
  <si>
    <t>g</t>
  </si>
  <si>
    <t>ci.u(xi)</t>
  </si>
  <si>
    <r>
      <t>c</t>
    </r>
    <r>
      <rPr>
        <i/>
        <vertAlign val="subscript"/>
        <sz val="10"/>
        <rFont val="Arial"/>
        <family val="2"/>
      </rPr>
      <t>i</t>
    </r>
  </si>
  <si>
    <t>ui(y) = u(y;xi)</t>
  </si>
  <si>
    <t>Coef. Sens.</t>
  </si>
  <si>
    <r>
      <t xml:space="preserve">incerteza padrão </t>
    </r>
    <r>
      <rPr>
        <i/>
        <sz val="9"/>
        <rFont val="Arial"/>
        <family val="2"/>
      </rPr>
      <t>u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x</t>
    </r>
    <r>
      <rPr>
        <i/>
        <vertAlign val="subscript"/>
        <sz val="9"/>
        <rFont val="Arial"/>
        <family val="2"/>
      </rPr>
      <t>i</t>
    </r>
    <r>
      <rPr>
        <sz val="9"/>
        <rFont val="Arial"/>
        <family val="2"/>
      </rPr>
      <t>)</t>
    </r>
  </si>
  <si>
    <r>
      <t xml:space="preserve">Divisor </t>
    </r>
    <r>
      <rPr>
        <i/>
        <sz val="10"/>
        <rFont val="Arial"/>
        <family val="2"/>
      </rPr>
      <t>k</t>
    </r>
  </si>
  <si>
    <t>Nome</t>
  </si>
  <si>
    <t>Tipo</t>
  </si>
  <si>
    <t>unidade</t>
  </si>
  <si>
    <t>meio intevalo declarado</t>
  </si>
  <si>
    <t>Valor</t>
  </si>
  <si>
    <t>Símbolo</t>
  </si>
  <si>
    <t>(Uncertainty contribution)</t>
  </si>
  <si>
    <t>(Probability density function)</t>
  </si>
  <si>
    <r>
      <t>[</t>
    </r>
    <r>
      <rPr>
        <i/>
        <sz val="10"/>
        <rFont val="Arial"/>
        <family val="2"/>
      </rPr>
      <t>u</t>
    </r>
    <r>
      <rPr>
        <i/>
        <vertAlign val="subscript"/>
        <sz val="10"/>
        <rFont val="Arial"/>
        <family val="2"/>
      </rPr>
      <t>i</t>
    </r>
    <r>
      <rPr>
        <sz val="11"/>
        <color theme="1"/>
        <rFont val="Calibri"/>
        <family val="2"/>
        <scheme val="minor"/>
      </rPr>
      <t>(</t>
    </r>
    <r>
      <rPr>
        <i/>
        <sz val="10"/>
        <rFont val="Arial"/>
        <family val="2"/>
      </rPr>
      <t>y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0"/>
        <rFont val="Arial"/>
        <family val="2"/>
      </rPr>
      <t>4</t>
    </r>
    <r>
      <rPr>
        <sz val="11"/>
        <color theme="1"/>
        <rFont val="Calibri"/>
        <family val="2"/>
        <scheme val="minor"/>
      </rPr>
      <t>/</t>
    </r>
    <r>
      <rPr>
        <sz val="10"/>
        <rFont val="Symbol"/>
        <family val="1"/>
        <charset val="2"/>
      </rPr>
      <t>n</t>
    </r>
    <r>
      <rPr>
        <i/>
        <vertAlign val="subscript"/>
        <sz val="10"/>
        <rFont val="Arial"/>
        <family val="2"/>
      </rPr>
      <t>i</t>
    </r>
  </si>
  <si>
    <r>
      <t>GL[</t>
    </r>
    <r>
      <rPr>
        <i/>
        <sz val="10"/>
        <rFont val="Arial"/>
        <family val="2"/>
      </rPr>
      <t>u</t>
    </r>
    <r>
      <rPr>
        <i/>
        <vertAlign val="subscript"/>
        <sz val="10"/>
        <rFont val="Arial"/>
        <family val="2"/>
      </rPr>
      <t>i</t>
    </r>
    <r>
      <rPr>
        <sz val="11"/>
        <color theme="1"/>
        <rFont val="Calibri"/>
        <family val="2"/>
        <scheme val="minor"/>
      </rPr>
      <t>(</t>
    </r>
    <r>
      <rPr>
        <i/>
        <sz val="10"/>
        <rFont val="Arial"/>
        <family val="2"/>
      </rPr>
      <t>y</t>
    </r>
    <r>
      <rPr>
        <sz val="11"/>
        <color theme="1"/>
        <rFont val="Calibri"/>
        <family val="2"/>
        <scheme val="minor"/>
      </rPr>
      <t>;</t>
    </r>
    <r>
      <rPr>
        <i/>
        <sz val="10"/>
        <rFont val="Arial"/>
        <family val="2"/>
      </rPr>
      <t>x</t>
    </r>
    <r>
      <rPr>
        <i/>
        <vertAlign val="subscript"/>
        <sz val="10"/>
        <rFont val="Arial"/>
        <family val="2"/>
      </rPr>
      <t>i</t>
    </r>
    <r>
      <rPr>
        <sz val="11"/>
        <color theme="1"/>
        <rFont val="Calibri"/>
        <family val="2"/>
        <scheme val="minor"/>
      </rPr>
      <t xml:space="preserve">)] = </t>
    </r>
    <r>
      <rPr>
        <i/>
        <sz val="10"/>
        <rFont val="Symbol"/>
        <family val="1"/>
        <charset val="2"/>
      </rPr>
      <t>n</t>
    </r>
    <r>
      <rPr>
        <i/>
        <vertAlign val="subscript"/>
        <sz val="10"/>
        <rFont val="Arial"/>
        <family val="2"/>
      </rPr>
      <t>i</t>
    </r>
    <r>
      <rPr>
        <sz val="11"/>
        <color theme="1"/>
        <rFont val="Calibri"/>
        <family val="2"/>
        <scheme val="minor"/>
      </rPr>
      <t xml:space="preserve"> ou
GL</t>
    </r>
    <r>
      <rPr>
        <vertAlign val="subscript"/>
        <sz val="10"/>
        <rFont val="Arial"/>
        <family val="2"/>
      </rPr>
      <t>ef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0"/>
        <rFont val="Symbol"/>
        <family val="1"/>
        <charset val="2"/>
      </rPr>
      <t>n</t>
    </r>
    <r>
      <rPr>
        <i/>
        <vertAlign val="subscript"/>
        <sz val="10"/>
        <rFont val="Arial"/>
        <family val="2"/>
      </rPr>
      <t>i</t>
    </r>
    <r>
      <rPr>
        <vertAlign val="subscript"/>
        <sz val="10"/>
        <rFont val="Arial"/>
        <family val="2"/>
      </rPr>
      <t>,ef</t>
    </r>
  </si>
  <si>
    <t>Contribuição de incerteza: u(y;xi)</t>
  </si>
  <si>
    <t>Função Densidade de probabilidade</t>
  </si>
  <si>
    <t>Grandezas de entrada ou de influência Fontes de incerteza (uncertainty sources)</t>
  </si>
  <si>
    <t>Rubrica:</t>
  </si>
  <si>
    <t>Folha  1/1</t>
  </si>
  <si>
    <t>Serviço num.:</t>
  </si>
  <si>
    <t xml:space="preserve">Técnico: </t>
  </si>
  <si>
    <t>Calibração, Medição, ou Ensaio:</t>
  </si>
  <si>
    <t>Planilha de Cálculo de incerteza de Medição</t>
  </si>
  <si>
    <r>
      <t>f</t>
    </r>
    <r>
      <rPr>
        <vertAlign val="subscript"/>
        <sz val="10"/>
        <rFont val="Arial"/>
        <family val="2"/>
      </rPr>
      <t>c</t>
    </r>
  </si>
  <si>
    <r>
      <t>f</t>
    </r>
    <r>
      <rPr>
        <i/>
        <vertAlign val="subscript"/>
        <sz val="10"/>
        <rFont val="Arial"/>
        <family val="2"/>
      </rPr>
      <t>c</t>
    </r>
  </si>
  <si>
    <t>mg/L/(mg/kg)</t>
  </si>
  <si>
    <r>
      <t>C</t>
    </r>
    <r>
      <rPr>
        <i/>
        <vertAlign val="subscript"/>
        <sz val="10"/>
        <rFont val="Arial"/>
        <family val="2"/>
      </rPr>
      <t>p</t>
    </r>
  </si>
  <si>
    <r>
      <t>m</t>
    </r>
    <r>
      <rPr>
        <i/>
        <vertAlign val="subscript"/>
        <sz val="10"/>
        <rFont val="Arial"/>
        <family val="2"/>
      </rPr>
      <t>A1,bruta</t>
    </r>
  </si>
  <si>
    <r>
      <t>m</t>
    </r>
    <r>
      <rPr>
        <i/>
        <vertAlign val="subscript"/>
        <sz val="10"/>
        <rFont val="Arial"/>
        <family val="2"/>
      </rPr>
      <t>A1,tara</t>
    </r>
  </si>
  <si>
    <r>
      <t>m</t>
    </r>
    <r>
      <rPr>
        <i/>
        <vertAlign val="subscript"/>
        <sz val="10"/>
        <rFont val="Arial"/>
        <family val="2"/>
      </rPr>
      <t>A2,bruta</t>
    </r>
  </si>
  <si>
    <r>
      <t>m</t>
    </r>
    <r>
      <rPr>
        <i/>
        <vertAlign val="subscript"/>
        <sz val="10"/>
        <rFont val="Arial"/>
        <family val="2"/>
      </rPr>
      <t>A2,tara</t>
    </r>
  </si>
  <si>
    <r>
      <t>m</t>
    </r>
    <r>
      <rPr>
        <i/>
        <vertAlign val="subscript"/>
        <sz val="10"/>
        <rFont val="Arial"/>
        <family val="2"/>
      </rPr>
      <t>A3,bruta</t>
    </r>
  </si>
  <si>
    <r>
      <t>m</t>
    </r>
    <r>
      <rPr>
        <i/>
        <vertAlign val="subscript"/>
        <sz val="10"/>
        <rFont val="Arial"/>
        <family val="2"/>
      </rPr>
      <t>A3,tara</t>
    </r>
  </si>
  <si>
    <r>
      <t>m</t>
    </r>
    <r>
      <rPr>
        <i/>
        <vertAlign val="subscript"/>
        <sz val="10"/>
        <rFont val="Arial"/>
        <family val="2"/>
      </rPr>
      <t>A4,bruta</t>
    </r>
  </si>
  <si>
    <r>
      <t>m</t>
    </r>
    <r>
      <rPr>
        <i/>
        <vertAlign val="subscript"/>
        <sz val="10"/>
        <rFont val="Arial"/>
        <family val="2"/>
      </rPr>
      <t>A4,tara</t>
    </r>
  </si>
  <si>
    <r>
      <t>m</t>
    </r>
    <r>
      <rPr>
        <i/>
        <vertAlign val="subscript"/>
        <sz val="10"/>
        <rFont val="Arial"/>
        <family val="2"/>
      </rPr>
      <t>A5,bruta</t>
    </r>
  </si>
  <si>
    <r>
      <t>m</t>
    </r>
    <r>
      <rPr>
        <i/>
        <vertAlign val="subscript"/>
        <sz val="10"/>
        <rFont val="Arial"/>
        <family val="2"/>
      </rPr>
      <t>A5,tara</t>
    </r>
  </si>
  <si>
    <r>
      <t>m</t>
    </r>
    <r>
      <rPr>
        <i/>
        <vertAlign val="subscript"/>
        <sz val="10"/>
        <rFont val="Arial"/>
        <family val="2"/>
      </rPr>
      <t>A6,bruta</t>
    </r>
  </si>
  <si>
    <r>
      <t>m</t>
    </r>
    <r>
      <rPr>
        <i/>
        <vertAlign val="subscript"/>
        <sz val="10"/>
        <rFont val="Arial"/>
        <family val="2"/>
      </rPr>
      <t>A6,tara</t>
    </r>
  </si>
  <si>
    <r>
      <t>m</t>
    </r>
    <r>
      <rPr>
        <i/>
        <vertAlign val="subscript"/>
        <sz val="10"/>
        <rFont val="Arial"/>
        <family val="2"/>
      </rPr>
      <t>A7,bruta</t>
    </r>
  </si>
  <si>
    <r>
      <t>m</t>
    </r>
    <r>
      <rPr>
        <i/>
        <vertAlign val="subscript"/>
        <sz val="10"/>
        <rFont val="Arial"/>
        <family val="2"/>
      </rPr>
      <t>A7,tara</t>
    </r>
  </si>
  <si>
    <r>
      <t>m</t>
    </r>
    <r>
      <rPr>
        <i/>
        <vertAlign val="subscript"/>
        <sz val="10"/>
        <rFont val="Arial"/>
        <family val="2"/>
      </rPr>
      <t>A8,bruta</t>
    </r>
  </si>
  <si>
    <r>
      <t>m</t>
    </r>
    <r>
      <rPr>
        <i/>
        <vertAlign val="subscript"/>
        <sz val="10"/>
        <rFont val="Arial"/>
        <family val="2"/>
      </rPr>
      <t>A8,tara</t>
    </r>
  </si>
  <si>
    <r>
      <t>m</t>
    </r>
    <r>
      <rPr>
        <i/>
        <vertAlign val="subscript"/>
        <sz val="10"/>
        <rFont val="Arial"/>
        <family val="2"/>
      </rPr>
      <t>A9,bruta</t>
    </r>
  </si>
  <si>
    <r>
      <t>m</t>
    </r>
    <r>
      <rPr>
        <i/>
        <vertAlign val="subscript"/>
        <sz val="10"/>
        <rFont val="Arial"/>
        <family val="2"/>
      </rPr>
      <t>A9,tara</t>
    </r>
  </si>
  <si>
    <r>
      <t>m</t>
    </r>
    <r>
      <rPr>
        <i/>
        <vertAlign val="subscript"/>
        <sz val="10"/>
        <rFont val="Arial"/>
        <family val="2"/>
      </rPr>
      <t>A10,bruta</t>
    </r>
  </si>
  <si>
    <r>
      <t>m</t>
    </r>
    <r>
      <rPr>
        <i/>
        <vertAlign val="subscript"/>
        <sz val="10"/>
        <rFont val="Arial"/>
        <family val="2"/>
      </rPr>
      <t>A10,tara</t>
    </r>
  </si>
  <si>
    <r>
      <t>m</t>
    </r>
    <r>
      <rPr>
        <i/>
        <vertAlign val="subscript"/>
        <sz val="10"/>
        <rFont val="Arial"/>
        <family val="2"/>
      </rPr>
      <t>sed,tara</t>
    </r>
  </si>
  <si>
    <r>
      <t>m</t>
    </r>
    <r>
      <rPr>
        <i/>
        <vertAlign val="subscript"/>
        <sz val="10"/>
        <rFont val="Arial"/>
        <family val="2"/>
      </rPr>
      <t>sed,bruta</t>
    </r>
  </si>
  <si>
    <t>Concentração de sedimento em suspenção pelo método de filtragem</t>
  </si>
  <si>
    <t>Universidade Federal de Minas Gerais - UFMG</t>
  </si>
  <si>
    <t>Serviço Geológico do Brasil - CPRM</t>
  </si>
  <si>
    <t>Welington F. de MAGALHÃES, Magda C. F. PINTO</t>
  </si>
  <si>
    <t>FUNÇÃO DE MEDIÇÃO (EQUAÇÃO DO MENSURANDO)</t>
  </si>
  <si>
    <r>
      <t xml:space="preserve"> m</t>
    </r>
    <r>
      <rPr>
        <vertAlign val="subscript"/>
        <sz val="12"/>
        <color theme="1"/>
        <rFont val="Times New Roman"/>
        <family val="1"/>
      </rPr>
      <t>AT</t>
    </r>
    <r>
      <rPr>
        <i/>
        <vertAlign val="subscript"/>
        <sz val="12"/>
        <color theme="1"/>
        <rFont val="Times New Roman"/>
        <family val="1"/>
      </rPr>
      <t>i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:</t>
    </r>
  </si>
  <si>
    <r>
      <t xml:space="preserve"> m</t>
    </r>
    <r>
      <rPr>
        <vertAlign val="subscript"/>
        <sz val="12"/>
        <color theme="1"/>
        <rFont val="Times New Roman"/>
        <family val="1"/>
      </rPr>
      <t>AB</t>
    </r>
    <r>
      <rPr>
        <i/>
        <vertAlign val="subscript"/>
        <sz val="12"/>
        <color theme="1"/>
        <rFont val="Times New Roman"/>
        <family val="1"/>
      </rPr>
      <t>i</t>
    </r>
    <r>
      <rPr>
        <vertAlign val="subscript"/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:</t>
    </r>
  </si>
  <si>
    <r>
      <t xml:space="preserve"> m</t>
    </r>
    <r>
      <rPr>
        <vertAlign val="subscript"/>
        <sz val="12"/>
        <color theme="1"/>
        <rFont val="Times New Roman"/>
        <family val="1"/>
      </rPr>
      <t>ST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:</t>
    </r>
  </si>
  <si>
    <r>
      <t xml:space="preserve"> m</t>
    </r>
    <r>
      <rPr>
        <vertAlign val="subscript"/>
        <sz val="12"/>
        <color theme="1"/>
        <rFont val="Times New Roman"/>
        <family val="1"/>
      </rPr>
      <t>SB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:</t>
    </r>
  </si>
  <si>
    <r>
      <t xml:space="preserve"> C</t>
    </r>
    <r>
      <rPr>
        <vertAlign val="subscript"/>
        <sz val="12"/>
        <color theme="1"/>
        <rFont val="Times New Roman"/>
        <family val="1"/>
      </rPr>
      <t>ss</t>
    </r>
    <r>
      <rPr>
        <sz val="12"/>
        <color theme="1"/>
        <rFont val="Times New Roman"/>
        <family val="1"/>
      </rPr>
      <t xml:space="preserve"> :</t>
    </r>
  </si>
  <si>
    <r>
      <t xml:space="preserve"> f</t>
    </r>
    <r>
      <rPr>
        <vertAlign val="subscript"/>
        <sz val="12"/>
        <color theme="1"/>
        <rFont val="Times New Roman"/>
        <family val="1"/>
      </rPr>
      <t>c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:</t>
    </r>
  </si>
  <si>
    <r>
      <t xml:space="preserve"> C</t>
    </r>
    <r>
      <rPr>
        <vertAlign val="subscript"/>
        <sz val="12"/>
        <color theme="1"/>
        <rFont val="Times New Roman"/>
        <family val="1"/>
      </rPr>
      <t>P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:</t>
    </r>
  </si>
  <si>
    <r>
      <t xml:space="preserve"> n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:</t>
    </r>
  </si>
  <si>
    <t>Concentração de sedimento em suspensão –  unidade : mg/L</t>
  </si>
  <si>
    <t>Massa bruta do sedimento filtrado – unidade : g</t>
  </si>
  <si>
    <t>Massa tara do sedimento filtrado – unidade : g</t>
  </si>
  <si>
    <r>
      <t xml:space="preserve">Massa bruta da </t>
    </r>
    <r>
      <rPr>
        <i/>
        <sz val="12"/>
        <color theme="1"/>
        <rFont val="Times New Roman"/>
        <family val="1"/>
      </rPr>
      <t>i</t>
    </r>
    <r>
      <rPr>
        <sz val="12"/>
        <color theme="1"/>
        <rFont val="Times New Roman"/>
        <family val="1"/>
      </rPr>
      <t>-ésima sub-amostra – unidade : g</t>
    </r>
  </si>
  <si>
    <r>
      <t xml:space="preserve">Massa tara da </t>
    </r>
    <r>
      <rPr>
        <i/>
        <sz val="12"/>
        <color theme="1"/>
        <rFont val="Times New Roman"/>
        <family val="1"/>
      </rPr>
      <t>i</t>
    </r>
    <r>
      <rPr>
        <sz val="12"/>
        <color theme="1"/>
        <rFont val="Times New Roman"/>
        <family val="1"/>
      </rPr>
      <t>-ésima sub-amostra – unidade : g</t>
    </r>
  </si>
  <si>
    <t>Fator de conversão de g/g para mg/kg –  unidade : (mg/kg)/(g/g)</t>
  </si>
  <si>
    <t>Fator deconversãodeconcentraçãodesedimentoemsuspensãodemg/kgparamg/L– unidade: mg/L/(mg/kg)</t>
  </si>
  <si>
    <t>1.000.000 :</t>
  </si>
  <si>
    <t>Correção nula de precisão intermediária do procedimento analítico – unidade : mg/L</t>
  </si>
  <si>
    <t>Número de sub-amostras</t>
  </si>
  <si>
    <r>
      <t xml:space="preserve">CONTRIBUIÇÕES PARA A INCERTEZA COMBINADA DO MENSURANDO </t>
    </r>
    <r>
      <rPr>
        <i/>
        <sz val="16"/>
        <rFont val="Arial"/>
        <family val="2"/>
      </rPr>
      <t>C</t>
    </r>
    <r>
      <rPr>
        <vertAlign val="subscript"/>
        <sz val="16"/>
        <rFont val="Arial"/>
        <family val="2"/>
      </rPr>
      <t>SS</t>
    </r>
  </si>
  <si>
    <t>DIAGRAMA DE CAUSA E EFEITO</t>
  </si>
  <si>
    <r>
      <rPr>
        <i/>
        <sz val="14"/>
        <rFont val="Times New Roman"/>
        <family val="1"/>
      </rPr>
      <t xml:space="preserve"> u</t>
    </r>
    <r>
      <rPr>
        <sz val="14"/>
        <rFont val="Times New Roman"/>
        <family val="1"/>
      </rPr>
      <t>(C</t>
    </r>
    <r>
      <rPr>
        <vertAlign val="subscript"/>
        <sz val="14"/>
        <rFont val="Times New Roman"/>
        <family val="1"/>
      </rPr>
      <t>SS</t>
    </r>
    <r>
      <rPr>
        <sz val="14"/>
        <rFont val="Times New Roman"/>
        <family val="1"/>
      </rPr>
      <t>)</t>
    </r>
  </si>
  <si>
    <r>
      <rPr>
        <i/>
        <sz val="14"/>
        <rFont val="Times New Roman"/>
        <family val="1"/>
      </rPr>
      <t xml:space="preserve"> C</t>
    </r>
    <r>
      <rPr>
        <vertAlign val="subscript"/>
        <sz val="14"/>
        <rFont val="Times New Roman"/>
        <family val="1"/>
      </rPr>
      <t>P</t>
    </r>
  </si>
  <si>
    <r>
      <rPr>
        <i/>
        <sz val="14"/>
        <rFont val="Times New Roman"/>
        <family val="1"/>
      </rPr>
      <t xml:space="preserve"> f</t>
    </r>
    <r>
      <rPr>
        <vertAlign val="subscript"/>
        <sz val="14"/>
        <rFont val="Times New Roman"/>
        <family val="1"/>
      </rPr>
      <t>c</t>
    </r>
  </si>
  <si>
    <r>
      <t xml:space="preserve"> m</t>
    </r>
    <r>
      <rPr>
        <vertAlign val="subscript"/>
        <sz val="14"/>
        <rFont val="Times New Roman"/>
        <family val="1"/>
      </rPr>
      <t>S</t>
    </r>
  </si>
  <si>
    <r>
      <t xml:space="preserve"> m</t>
    </r>
    <r>
      <rPr>
        <vertAlign val="subscript"/>
        <sz val="14"/>
        <rFont val="Times New Roman"/>
        <family val="1"/>
      </rPr>
      <t>A</t>
    </r>
  </si>
  <si>
    <t>Grandeza Valor nominal ou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</si>
</sst>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000"/>
    <numFmt numFmtId="166" formatCode="0.0000"/>
    <numFmt numFmtId="167" formatCode="0.0"/>
    <numFmt numFmtId="168" formatCode="0.0000000"/>
    <numFmt numFmtId="169" formatCode="0.0000E+00"/>
    <numFmt numFmtId="170" formatCode="0.000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i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i/>
      <sz val="10"/>
      <name val="Symbol"/>
      <family val="1"/>
      <charset val="2"/>
    </font>
    <font>
      <i/>
      <vertAlign val="subscript"/>
      <sz val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sz val="9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bscript"/>
      <sz val="16"/>
      <name val="Arial"/>
      <family val="2"/>
    </font>
    <font>
      <i/>
      <sz val="16"/>
      <name val="Arial"/>
      <family val="2"/>
    </font>
    <font>
      <sz val="14"/>
      <name val="Times New Roman"/>
      <family val="1"/>
    </font>
    <font>
      <i/>
      <sz val="14"/>
      <name val="Times New Roman"/>
      <family val="1"/>
    </font>
    <font>
      <vertAlign val="subscript"/>
      <sz val="14"/>
      <name val="Times New Roman"/>
      <family val="1"/>
    </font>
    <font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9"/>
      <color indexed="81"/>
      <name val="Times New Roman"/>
      <family val="1"/>
    </font>
    <font>
      <i/>
      <sz val="9"/>
      <color indexed="81"/>
      <name val="Tahoma"/>
      <family val="2"/>
    </font>
    <font>
      <i/>
      <sz val="9"/>
      <color indexed="81"/>
      <name val="Symbol"/>
      <family val="1"/>
      <charset val="2"/>
    </font>
    <font>
      <vertAlign val="subscript"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/>
    <xf numFmtId="0" fontId="1" fillId="0" borderId="0" xfId="1" applyAlignment="1"/>
    <xf numFmtId="164" fontId="1" fillId="0" borderId="0" xfId="1" applyNumberFormat="1" applyAlignment="1">
      <alignment horizontal="center"/>
    </xf>
    <xf numFmtId="164" fontId="2" fillId="0" borderId="0" xfId="1" applyNumberFormat="1" applyFont="1" applyAlignment="1"/>
    <xf numFmtId="164" fontId="1" fillId="0" borderId="0" xfId="1" applyNumberFormat="1" applyAlignmen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165" fontId="1" fillId="0" borderId="0" xfId="1" applyNumberFormat="1"/>
    <xf numFmtId="0" fontId="6" fillId="0" borderId="0" xfId="1" applyFont="1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0" xfId="1" applyBorder="1"/>
    <xf numFmtId="0" fontId="2" fillId="0" borderId="0" xfId="1" applyFont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7" xfId="1" applyBorder="1" applyAlignment="1">
      <alignment horizontal="left"/>
    </xf>
    <xf numFmtId="0" fontId="2" fillId="0" borderId="7" xfId="1" applyFont="1" applyBorder="1" applyAlignment="1">
      <alignment horizontal="right"/>
    </xf>
    <xf numFmtId="11" fontId="8" fillId="0" borderId="7" xfId="1" applyNumberFormat="1" applyFont="1" applyBorder="1" applyAlignment="1">
      <alignment horizontal="left"/>
    </xf>
    <xf numFmtId="166" fontId="9" fillId="0" borderId="7" xfId="1" applyNumberFormat="1" applyFont="1" applyBorder="1" applyAlignment="1">
      <alignment horizontal="right"/>
    </xf>
    <xf numFmtId="0" fontId="10" fillId="0" borderId="8" xfId="1" applyFont="1" applyBorder="1"/>
    <xf numFmtId="166" fontId="1" fillId="2" borderId="1" xfId="1" applyNumberFormat="1" applyFill="1" applyBorder="1" applyAlignment="1">
      <alignment horizontal="center"/>
    </xf>
    <xf numFmtId="166" fontId="1" fillId="2" borderId="2" xfId="1" applyNumberFormat="1" applyFill="1" applyBorder="1" applyAlignment="1">
      <alignment horizontal="center"/>
    </xf>
    <xf numFmtId="165" fontId="1" fillId="2" borderId="2" xfId="1" applyNumberForma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" fillId="3" borderId="9" xfId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1" fillId="3" borderId="10" xfId="1" applyFill="1" applyBorder="1" applyAlignment="1">
      <alignment horizontal="center"/>
    </xf>
    <xf numFmtId="0" fontId="1" fillId="3" borderId="11" xfId="1" applyFill="1" applyBorder="1" applyAlignment="1">
      <alignment horizontal="center"/>
    </xf>
    <xf numFmtId="0" fontId="1" fillId="3" borderId="7" xfId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/>
    </xf>
    <xf numFmtId="0" fontId="1" fillId="4" borderId="15" xfId="1" applyFill="1" applyBorder="1" applyAlignment="1">
      <alignment horizontal="center"/>
    </xf>
    <xf numFmtId="0" fontId="1" fillId="4" borderId="14" xfId="1" applyFill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11" fontId="1" fillId="5" borderId="16" xfId="1" applyNumberFormat="1" applyFill="1" applyBorder="1" applyAlignment="1">
      <alignment horizontal="center"/>
    </xf>
    <xf numFmtId="0" fontId="2" fillId="5" borderId="17" xfId="1" applyFont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1" fillId="5" borderId="17" xfId="1" applyFill="1" applyBorder="1" applyAlignment="1">
      <alignment horizontal="center"/>
    </xf>
    <xf numFmtId="0" fontId="2" fillId="5" borderId="19" xfId="1" applyFont="1" applyFill="1" applyBorder="1" applyAlignment="1">
      <alignment horizontal="center"/>
    </xf>
    <xf numFmtId="0" fontId="2" fillId="5" borderId="17" xfId="1" applyFont="1" applyFill="1" applyBorder="1" applyAlignment="1" applyProtection="1">
      <alignment horizontal="center"/>
      <protection hidden="1"/>
    </xf>
    <xf numFmtId="0" fontId="1" fillId="5" borderId="19" xfId="1" applyNumberFormat="1" applyFill="1" applyBorder="1" applyAlignment="1" applyProtection="1">
      <alignment horizontal="center"/>
      <protection hidden="1"/>
    </xf>
    <xf numFmtId="164" fontId="1" fillId="5" borderId="19" xfId="1" applyNumberFormat="1" applyFill="1" applyBorder="1" applyAlignment="1" applyProtection="1">
      <alignment horizontal="center"/>
      <protection hidden="1"/>
    </xf>
    <xf numFmtId="11" fontId="1" fillId="0" borderId="16" xfId="1" applyNumberFormat="1" applyFill="1" applyBorder="1" applyAlignment="1">
      <alignment horizontal="center"/>
    </xf>
    <xf numFmtId="0" fontId="1" fillId="0" borderId="17" xfId="1" applyFill="1" applyBorder="1" applyAlignment="1">
      <alignment horizontal="center"/>
    </xf>
    <xf numFmtId="0" fontId="1" fillId="0" borderId="16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17" xfId="1" applyFill="1" applyBorder="1" applyAlignment="1" applyProtection="1">
      <alignment horizontal="center"/>
      <protection hidden="1"/>
    </xf>
    <xf numFmtId="0" fontId="1" fillId="0" borderId="19" xfId="1" applyNumberFormat="1" applyFill="1" applyBorder="1" applyAlignment="1" applyProtection="1">
      <alignment horizontal="center"/>
      <protection hidden="1"/>
    </xf>
    <xf numFmtId="0" fontId="1" fillId="5" borderId="19" xfId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2" fillId="0" borderId="17" xfId="1" applyFont="1" applyFill="1" applyBorder="1" applyAlignment="1" applyProtection="1">
      <alignment horizontal="center"/>
      <protection hidden="1"/>
    </xf>
    <xf numFmtId="11" fontId="1" fillId="0" borderId="16" xfId="1" applyNumberFormat="1" applyBorder="1" applyAlignment="1">
      <alignment horizontal="center"/>
    </xf>
    <xf numFmtId="0" fontId="1" fillId="6" borderId="19" xfId="1" applyNumberFormat="1" applyFill="1" applyBorder="1" applyAlignment="1" applyProtection="1">
      <alignment horizontal="center"/>
      <protection hidden="1"/>
    </xf>
    <xf numFmtId="166" fontId="1" fillId="6" borderId="19" xfId="1" applyNumberFormat="1" applyFill="1" applyBorder="1" applyAlignment="1" applyProtection="1">
      <alignment horizontal="center"/>
      <protection hidden="1"/>
    </xf>
    <xf numFmtId="0" fontId="1" fillId="5" borderId="0" xfId="1" applyNumberFormat="1" applyFill="1" applyBorder="1" applyAlignment="1">
      <alignment horizontal="center"/>
    </xf>
    <xf numFmtId="0" fontId="2" fillId="6" borderId="17" xfId="1" applyFont="1" applyFill="1" applyBorder="1" applyAlignment="1" applyProtection="1">
      <alignment horizontal="center"/>
      <protection hidden="1"/>
    </xf>
    <xf numFmtId="167" fontId="1" fillId="0" borderId="19" xfId="1" applyNumberFormat="1" applyFill="1" applyBorder="1" applyAlignment="1" applyProtection="1">
      <alignment horizontal="center"/>
      <protection hidden="1"/>
    </xf>
    <xf numFmtId="166" fontId="1" fillId="5" borderId="19" xfId="1" applyNumberFormat="1" applyFill="1" applyBorder="1" applyAlignment="1" applyProtection="1">
      <alignment horizontal="center"/>
      <protection hidden="1"/>
    </xf>
    <xf numFmtId="0" fontId="2" fillId="0" borderId="19" xfId="1" applyFont="1" applyBorder="1" applyAlignment="1">
      <alignment horizontal="center"/>
    </xf>
    <xf numFmtId="0" fontId="1" fillId="0" borderId="0" xfId="1" applyNumberFormat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2" fillId="6" borderId="20" xfId="1" applyFont="1" applyFill="1" applyBorder="1" applyAlignment="1" applyProtection="1">
      <alignment horizontal="center"/>
      <protection hidden="1"/>
    </xf>
    <xf numFmtId="0" fontId="1" fillId="3" borderId="24" xfId="1" applyFill="1" applyBorder="1" applyAlignment="1">
      <alignment horizontal="center"/>
    </xf>
    <xf numFmtId="0" fontId="4" fillId="3" borderId="25" xfId="1" applyFont="1" applyFill="1" applyBorder="1" applyAlignment="1">
      <alignment horizontal="center"/>
    </xf>
    <xf numFmtId="0" fontId="1" fillId="3" borderId="26" xfId="1" applyFill="1" applyBorder="1" applyAlignment="1">
      <alignment horizontal="center"/>
    </xf>
    <xf numFmtId="0" fontId="1" fillId="3" borderId="27" xfId="1" applyFill="1" applyBorder="1" applyAlignment="1">
      <alignment horizontal="center"/>
    </xf>
    <xf numFmtId="0" fontId="1" fillId="3" borderId="6" xfId="1" applyFill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0" fillId="0" borderId="0" xfId="1" applyFont="1"/>
    <xf numFmtId="0" fontId="1" fillId="7" borderId="0" xfId="1" applyFill="1"/>
    <xf numFmtId="0" fontId="6" fillId="7" borderId="0" xfId="1" applyFont="1" applyFill="1"/>
    <xf numFmtId="0" fontId="1" fillId="0" borderId="0" xfId="1" applyFill="1"/>
    <xf numFmtId="2" fontId="1" fillId="6" borderId="19" xfId="1" applyNumberFormat="1" applyFill="1" applyBorder="1" applyAlignment="1" applyProtection="1">
      <alignment horizontal="center"/>
      <protection hidden="1"/>
    </xf>
    <xf numFmtId="2" fontId="1" fillId="5" borderId="19" xfId="1" applyNumberFormat="1" applyFill="1" applyBorder="1" applyAlignment="1" applyProtection="1">
      <alignment horizontal="center"/>
      <protection hidden="1"/>
    </xf>
    <xf numFmtId="169" fontId="1" fillId="0" borderId="19" xfId="1" applyNumberFormat="1" applyFill="1" applyBorder="1" applyAlignment="1" applyProtection="1">
      <alignment horizontal="center"/>
      <protection hidden="1"/>
    </xf>
    <xf numFmtId="0" fontId="4" fillId="6" borderId="21" xfId="1" applyFont="1" applyFill="1" applyBorder="1" applyAlignment="1" applyProtection="1">
      <alignment horizontal="center"/>
      <protection hidden="1"/>
    </xf>
    <xf numFmtId="0" fontId="4" fillId="0" borderId="16" xfId="1" applyFont="1" applyFill="1" applyBorder="1" applyAlignment="1" applyProtection="1">
      <alignment horizontal="center"/>
      <protection hidden="1"/>
    </xf>
    <xf numFmtId="0" fontId="4" fillId="5" borderId="16" xfId="1" applyFont="1" applyFill="1" applyBorder="1" applyAlignment="1" applyProtection="1">
      <alignment horizontal="center"/>
      <protection hidden="1"/>
    </xf>
    <xf numFmtId="0" fontId="4" fillId="0" borderId="16" xfId="1" quotePrefix="1" applyFont="1" applyFill="1" applyBorder="1" applyAlignment="1" applyProtection="1">
      <alignment horizontal="center"/>
      <protection hidden="1"/>
    </xf>
    <xf numFmtId="0" fontId="4" fillId="6" borderId="16" xfId="1" applyFont="1" applyFill="1" applyBorder="1" applyAlignment="1" applyProtection="1">
      <alignment horizontal="center"/>
      <protection hidden="1"/>
    </xf>
    <xf numFmtId="0" fontId="1" fillId="0" borderId="4" xfId="1" applyFill="1" applyBorder="1" applyAlignment="1" applyProtection="1">
      <alignment horizontal="center"/>
      <protection hidden="1"/>
    </xf>
    <xf numFmtId="0" fontId="4" fillId="5" borderId="16" xfId="1" quotePrefix="1" applyFont="1" applyFill="1" applyBorder="1" applyAlignment="1" applyProtection="1">
      <alignment horizontal="center"/>
      <protection hidden="1"/>
    </xf>
    <xf numFmtId="0" fontId="1" fillId="0" borderId="5" xfId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1" fillId="0" borderId="38" xfId="1" applyBorder="1" applyAlignment="1">
      <alignment horizontal="center"/>
    </xf>
    <xf numFmtId="0" fontId="1" fillId="0" borderId="39" xfId="1" applyBorder="1" applyAlignment="1">
      <alignment horizontal="center"/>
    </xf>
    <xf numFmtId="0" fontId="1" fillId="0" borderId="39" xfId="1" applyFill="1" applyBorder="1" applyAlignment="1">
      <alignment horizontal="center"/>
    </xf>
    <xf numFmtId="0" fontId="1" fillId="5" borderId="39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0" borderId="0" xfId="1" applyNumberFormat="1" applyFill="1" applyBorder="1" applyAlignment="1">
      <alignment horizontal="center"/>
    </xf>
    <xf numFmtId="11" fontId="1" fillId="0" borderId="4" xfId="1" applyNumberFormat="1" applyBorder="1" applyAlignment="1">
      <alignment horizontal="center"/>
    </xf>
    <xf numFmtId="11" fontId="1" fillId="0" borderId="4" xfId="1" applyNumberFormat="1" applyFill="1" applyBorder="1" applyAlignment="1">
      <alignment horizontal="center"/>
    </xf>
    <xf numFmtId="11" fontId="1" fillId="5" borderId="4" xfId="1" applyNumberFormat="1" applyFill="1" applyBorder="1" applyAlignment="1">
      <alignment horizontal="center"/>
    </xf>
    <xf numFmtId="11" fontId="1" fillId="0" borderId="14" xfId="1" applyNumberFormat="1" applyBorder="1" applyAlignment="1">
      <alignment horizontal="center"/>
    </xf>
    <xf numFmtId="169" fontId="1" fillId="0" borderId="16" xfId="1" applyNumberFormat="1" applyFill="1" applyBorder="1" applyAlignment="1">
      <alignment horizontal="center"/>
    </xf>
    <xf numFmtId="166" fontId="1" fillId="0" borderId="0" xfId="1" applyNumberFormat="1" applyBorder="1" applyAlignment="1">
      <alignment horizontal="center"/>
    </xf>
    <xf numFmtId="166" fontId="1" fillId="0" borderId="0" xfId="1" applyNumberFormat="1"/>
    <xf numFmtId="2" fontId="1" fillId="0" borderId="0" xfId="1" applyNumberFormat="1"/>
    <xf numFmtId="169" fontId="1" fillId="0" borderId="0" xfId="1" applyNumberFormat="1" applyBorder="1" applyAlignment="1">
      <alignment horizontal="center"/>
    </xf>
    <xf numFmtId="169" fontId="1" fillId="5" borderId="0" xfId="1" applyNumberFormat="1" applyFill="1" applyBorder="1" applyAlignment="1">
      <alignment horizontal="center"/>
    </xf>
    <xf numFmtId="166" fontId="1" fillId="5" borderId="0" xfId="1" applyNumberFormat="1" applyFill="1" applyBorder="1" applyAlignment="1">
      <alignment horizontal="center"/>
    </xf>
    <xf numFmtId="170" fontId="1" fillId="0" borderId="14" xfId="1" applyNumberFormat="1" applyFill="1" applyBorder="1" applyAlignment="1">
      <alignment horizontal="center"/>
    </xf>
    <xf numFmtId="166" fontId="1" fillId="0" borderId="19" xfId="1" applyNumberFormat="1" applyFill="1" applyBorder="1" applyAlignment="1" applyProtection="1">
      <alignment horizontal="center"/>
      <protection hidden="1"/>
    </xf>
    <xf numFmtId="166" fontId="1" fillId="0" borderId="0" xfId="1" applyNumberFormat="1" applyFill="1" applyBorder="1" applyAlignment="1">
      <alignment horizontal="center"/>
    </xf>
    <xf numFmtId="168" fontId="1" fillId="0" borderId="16" xfId="1" applyNumberFormat="1" applyFill="1" applyBorder="1" applyAlignment="1">
      <alignment horizontal="center"/>
    </xf>
    <xf numFmtId="0" fontId="2" fillId="5" borderId="19" xfId="1" applyNumberFormat="1" applyFont="1" applyFill="1" applyBorder="1" applyAlignment="1" applyProtection="1">
      <alignment horizontal="center"/>
      <protection hidden="1"/>
    </xf>
    <xf numFmtId="168" fontId="1" fillId="5" borderId="16" xfId="1" applyNumberFormat="1" applyFill="1" applyBorder="1" applyAlignment="1">
      <alignment horizontal="center"/>
    </xf>
    <xf numFmtId="0" fontId="1" fillId="0" borderId="19" xfId="1" applyNumberFormat="1" applyBorder="1" applyAlignment="1">
      <alignment horizontal="center"/>
    </xf>
    <xf numFmtId="2" fontId="1" fillId="0" borderId="19" xfId="1" applyNumberFormat="1" applyFill="1" applyBorder="1" applyAlignment="1" applyProtection="1">
      <alignment horizontal="center"/>
      <protection hidden="1"/>
    </xf>
    <xf numFmtId="0" fontId="1" fillId="0" borderId="0" xfId="1" applyAlignment="1">
      <alignment horizontal="left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horizontal="left" vertical="top"/>
    </xf>
    <xf numFmtId="3" fontId="21" fillId="0" borderId="0" xfId="0" applyNumberFormat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1" fillId="3" borderId="7" xfId="1" applyFill="1" applyBorder="1" applyAlignment="1">
      <alignment horizontal="center" vertical="center" wrapText="1"/>
    </xf>
    <xf numFmtId="166" fontId="1" fillId="2" borderId="2" xfId="1" applyNumberForma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27" fillId="0" borderId="0" xfId="1" applyFont="1"/>
    <xf numFmtId="165" fontId="30" fillId="0" borderId="0" xfId="1" applyNumberFormat="1" applyFont="1" applyAlignment="1">
      <alignment horizontal="right"/>
    </xf>
    <xf numFmtId="0" fontId="30" fillId="0" borderId="0" xfId="1" applyFont="1" applyAlignment="1">
      <alignment horizontal="right"/>
    </xf>
    <xf numFmtId="0" fontId="28" fillId="0" borderId="0" xfId="1" applyFont="1" applyAlignment="1">
      <alignment horizontal="left"/>
    </xf>
    <xf numFmtId="0" fontId="30" fillId="0" borderId="0" xfId="1" applyFont="1" applyAlignment="1">
      <alignment horizontal="right" vertical="center" wrapText="1"/>
    </xf>
    <xf numFmtId="0" fontId="2" fillId="3" borderId="10" xfId="1" applyFont="1" applyFill="1" applyBorder="1" applyAlignment="1">
      <alignment horizontal="center"/>
    </xf>
    <xf numFmtId="0" fontId="1" fillId="3" borderId="7" xfId="1" applyFill="1" applyBorder="1" applyAlignment="1">
      <alignment horizontal="center" vertical="center" wrapText="1"/>
    </xf>
    <xf numFmtId="169" fontId="1" fillId="2" borderId="2" xfId="1" applyNumberFormat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166" fontId="1" fillId="2" borderId="2" xfId="1" applyNumberForma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1" fillId="3" borderId="10" xfId="1" applyFill="1" applyBorder="1" applyAlignment="1">
      <alignment horizontal="center"/>
    </xf>
    <xf numFmtId="0" fontId="1" fillId="3" borderId="6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9" xfId="1" applyFill="1" applyBorder="1" applyAlignment="1">
      <alignment horizontal="center" vertical="center" wrapText="1"/>
    </xf>
    <xf numFmtId="0" fontId="1" fillId="3" borderId="33" xfId="1" applyFill="1" applyBorder="1" applyAlignment="1">
      <alignment horizontal="center" vertical="center" wrapText="1"/>
    </xf>
    <xf numFmtId="0" fontId="1" fillId="3" borderId="23" xfId="1" applyFill="1" applyBorder="1" applyAlignment="1">
      <alignment horizontal="center" vertical="center" wrapText="1"/>
    </xf>
    <xf numFmtId="0" fontId="1" fillId="3" borderId="35" xfId="1" applyFill="1" applyBorder="1" applyAlignment="1">
      <alignment horizontal="center" vertical="center" wrapText="1"/>
    </xf>
    <xf numFmtId="0" fontId="1" fillId="3" borderId="25" xfId="1" applyFill="1" applyBorder="1" applyAlignment="1">
      <alignment horizontal="center" vertical="center" wrapText="1"/>
    </xf>
    <xf numFmtId="0" fontId="1" fillId="3" borderId="36" xfId="1" applyFill="1" applyBorder="1" applyAlignment="1">
      <alignment horizontal="center" vertical="center" wrapText="1"/>
    </xf>
    <xf numFmtId="0" fontId="1" fillId="3" borderId="37" xfId="1" applyFill="1" applyBorder="1" applyAlignment="1">
      <alignment horizontal="center" vertical="center" wrapText="1"/>
    </xf>
    <xf numFmtId="0" fontId="1" fillId="3" borderId="16" xfId="1" applyFill="1" applyBorder="1" applyAlignment="1">
      <alignment horizontal="center" vertical="center" wrapText="1"/>
    </xf>
    <xf numFmtId="0" fontId="1" fillId="3" borderId="0" xfId="1" applyFill="1" applyBorder="1" applyAlignment="1">
      <alignment horizontal="center"/>
    </xf>
    <xf numFmtId="0" fontId="1" fillId="3" borderId="8" xfId="1" applyFill="1" applyBorder="1" applyAlignment="1">
      <alignment horizontal="center" vertical="center" wrapText="1"/>
    </xf>
    <xf numFmtId="0" fontId="1" fillId="3" borderId="32" xfId="1" applyFill="1" applyBorder="1" applyAlignment="1">
      <alignment horizontal="center" vertical="center" wrapText="1"/>
    </xf>
    <xf numFmtId="0" fontId="1" fillId="3" borderId="31" xfId="1" applyFill="1" applyBorder="1" applyAlignment="1">
      <alignment horizontal="center" vertical="center" wrapText="1"/>
    </xf>
    <xf numFmtId="0" fontId="1" fillId="3" borderId="30" xfId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34" xfId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1" fillId="3" borderId="27" xfId="1" applyFill="1" applyBorder="1" applyAlignment="1">
      <alignment horizontal="center" vertical="center" wrapText="1"/>
    </xf>
    <xf numFmtId="0" fontId="1" fillId="3" borderId="25" xfId="1" applyFont="1" applyFill="1" applyBorder="1" applyAlignment="1">
      <alignment horizontal="center" vertical="center" wrapText="1"/>
    </xf>
    <xf numFmtId="0" fontId="1" fillId="3" borderId="32" xfId="1" applyFill="1" applyBorder="1" applyAlignment="1">
      <alignment horizontal="center"/>
    </xf>
    <xf numFmtId="0" fontId="1" fillId="3" borderId="31" xfId="1" applyFill="1" applyBorder="1" applyAlignment="1">
      <alignment horizontal="center"/>
    </xf>
    <xf numFmtId="0" fontId="1" fillId="3" borderId="30" xfId="1" applyFill="1" applyBorder="1" applyAlignment="1">
      <alignment horizontal="center"/>
    </xf>
    <xf numFmtId="0" fontId="16" fillId="3" borderId="2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54646653535"/>
          <c:y val="0.0514477407829577"/>
          <c:w val="0.848501802769122"/>
          <c:h val="0.7579567728348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'Calc Incert'!$A$143:$A$147</c:f>
              <c:strCache>
                <c:ptCount val="5"/>
                <c:pt idx="0">
                  <c:v> u(CSS)</c:v>
                </c:pt>
                <c:pt idx="1">
                  <c:v> CP</c:v>
                </c:pt>
                <c:pt idx="2">
                  <c:v> fc</c:v>
                </c:pt>
                <c:pt idx="3">
                  <c:v> mS</c:v>
                </c:pt>
                <c:pt idx="4">
                  <c:v> mA</c:v>
                </c:pt>
              </c:strCache>
            </c:strRef>
          </c:cat>
          <c:val>
            <c:numRef>
              <c:f>'Calc Incert'!$B$143:$B$147</c:f>
              <c:numCache>
                <c:formatCode>General</c:formatCode>
                <c:ptCount val="5"/>
                <c:pt idx="0" formatCode="0.000000">
                  <c:v>1.976033163927005</c:v>
                </c:pt>
                <c:pt idx="1">
                  <c:v>1.944142600879469</c:v>
                </c:pt>
                <c:pt idx="2">
                  <c:v>0.352324960328166</c:v>
                </c:pt>
                <c:pt idx="3">
                  <c:v>0.0296663024529457</c:v>
                </c:pt>
                <c:pt idx="4">
                  <c:v>0.00197429676025874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16279336"/>
        <c:axId val="2116282216"/>
      </c:barChart>
      <c:catAx>
        <c:axId val="2116279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Incerteza combinada e fontes de incerteza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116282216"/>
        <c:crosses val="autoZero"/>
        <c:auto val="1"/>
        <c:lblAlgn val="ctr"/>
        <c:lblOffset val="100"/>
        <c:noMultiLvlLbl val="0"/>
      </c:catAx>
      <c:valAx>
        <c:axId val="2116282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Contribuições para </a:t>
                </a:r>
                <a:r>
                  <a:rPr lang="en-US" sz="1200" i="1"/>
                  <a:t>u</a:t>
                </a:r>
                <a:r>
                  <a:rPr lang="en-US" sz="1200"/>
                  <a:t>(</a:t>
                </a:r>
                <a:r>
                  <a:rPr lang="en-US" sz="1200" i="1"/>
                  <a:t>C</a:t>
                </a:r>
                <a:r>
                  <a:rPr lang="en-US" sz="1200" baseline="-25000"/>
                  <a:t>SS</a:t>
                </a:r>
                <a:r>
                  <a:rPr lang="en-US" sz="1200"/>
                  <a:t>)</a:t>
                </a:r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2116279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5" l="0.511811024" r="0.511811024" t="0.787401575" header="0.31496062" footer="0.3149606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26958</xdr:colOff>
      <xdr:row>142</xdr:row>
      <xdr:rowOff>17972</xdr:rowOff>
    </xdr:from>
    <xdr:to>
      <xdr:col>8</xdr:col>
      <xdr:colOff>771419</xdr:colOff>
      <xdr:row>159</xdr:row>
      <xdr:rowOff>157703</xdr:rowOff>
    </xdr:to>
    <xdr:graphicFrame macro="">
      <xdr:nvGraphicFramePr>
        <xdr:cNvPr id="90" name="Gráfico 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139700</xdr:colOff>
          <xdr:row>165</xdr:row>
          <xdr:rowOff>63500</xdr:rowOff>
        </xdr:from>
        <xdr:to>
          <xdr:col>6</xdr:col>
          <xdr:colOff>812800</xdr:colOff>
          <xdr:row>172</xdr:row>
          <xdr:rowOff>114300</xdr:rowOff>
        </xdr:to>
        <xdr:sp macro="" textlink="">
          <xdr:nvSpPr>
            <xdr:cNvPr id="2475" name="Object 427" hidden="1">
              <a:extLst>
                <a:ext uri="{63B3BB69-23CF-44E3-9099-C40C66FF867C}">
                  <a14:compatExt spid="_x0000_s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330200</xdr:colOff>
          <xdr:row>167</xdr:row>
          <xdr:rowOff>0</xdr:rowOff>
        </xdr:from>
        <xdr:to>
          <xdr:col>14</xdr:col>
          <xdr:colOff>203200</xdr:colOff>
          <xdr:row>177</xdr:row>
          <xdr:rowOff>38100</xdr:rowOff>
        </xdr:to>
        <xdr:sp macro="" textlink="">
          <xdr:nvSpPr>
            <xdr:cNvPr id="2485" name="Object 437" hidden="1">
              <a:extLst>
                <a:ext uri="{63B3BB69-23CF-44E3-9099-C40C66FF867C}">
                  <a14:compatExt spid="_x0000_s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6" Type="http://schemas.openxmlformats.org/officeDocument/2006/relationships/image" Target="../media/image2.png"/><Relationship Id="rId7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3"/>
  <sheetViews>
    <sheetView tabSelected="1" topLeftCell="A127" zoomScale="120" zoomScaleNormal="120" zoomScalePageLayoutView="120" workbookViewId="0">
      <selection activeCell="A154" sqref="A154"/>
    </sheetView>
  </sheetViews>
  <sheetFormatPr baseColWidth="10" defaultColWidth="9.1640625" defaultRowHeight="12" x14ac:dyDescent="0"/>
  <cols>
    <col min="1" max="1" width="12.83203125" style="1" bestFit="1" customWidth="1"/>
    <col min="2" max="2" width="12.33203125" style="1" bestFit="1" customWidth="1"/>
    <col min="3" max="3" width="12.6640625" style="1" customWidth="1"/>
    <col min="4" max="4" width="12.5" style="1" customWidth="1"/>
    <col min="5" max="5" width="9.1640625" style="1"/>
    <col min="6" max="6" width="9.6640625" style="1" customWidth="1"/>
    <col min="7" max="7" width="9.5" style="1" bestFit="1" customWidth="1"/>
    <col min="8" max="8" width="12.83203125" style="1" bestFit="1" customWidth="1"/>
    <col min="9" max="9" width="12.83203125" style="1" customWidth="1"/>
    <col min="10" max="10" width="12.6640625" style="1" customWidth="1"/>
    <col min="11" max="11" width="11.6640625" style="1" customWidth="1"/>
    <col min="12" max="12" width="9.83203125" style="1" bestFit="1" customWidth="1"/>
    <col min="13" max="16384" width="9.1640625" style="1"/>
  </cols>
  <sheetData>
    <row r="1" spans="1:14" ht="18">
      <c r="D1" s="13" t="s">
        <v>81</v>
      </c>
    </row>
    <row r="2" spans="1:14" ht="18">
      <c r="D2" s="13" t="s">
        <v>80</v>
      </c>
    </row>
    <row r="4" spans="1:14" ht="18">
      <c r="D4" s="85" t="s">
        <v>52</v>
      </c>
      <c r="E4" s="84"/>
      <c r="F4" s="84"/>
      <c r="G4" s="84"/>
      <c r="H4" s="84"/>
      <c r="I4" s="84"/>
      <c r="J4" s="86"/>
    </row>
    <row r="5" spans="1:14">
      <c r="A5" s="83" t="s">
        <v>51</v>
      </c>
      <c r="D5" s="2" t="s">
        <v>79</v>
      </c>
    </row>
    <row r="6" spans="1:14">
      <c r="A6" s="83" t="s">
        <v>50</v>
      </c>
      <c r="B6" s="1" t="s">
        <v>82</v>
      </c>
      <c r="G6" s="82" t="s">
        <v>49</v>
      </c>
      <c r="H6" s="130">
        <v>190857</v>
      </c>
      <c r="I6" s="83" t="s">
        <v>48</v>
      </c>
      <c r="J6" s="82" t="s">
        <v>47</v>
      </c>
    </row>
    <row r="7" spans="1:14" ht="13" thickBot="1"/>
    <row r="8" spans="1:14">
      <c r="A8" s="162" t="s">
        <v>46</v>
      </c>
      <c r="B8" s="144"/>
      <c r="C8" s="144"/>
      <c r="D8" s="150"/>
      <c r="E8" s="166" t="s">
        <v>45</v>
      </c>
      <c r="F8" s="166"/>
      <c r="G8" s="166"/>
      <c r="H8" s="167" t="s">
        <v>44</v>
      </c>
      <c r="I8" s="168"/>
      <c r="J8" s="169"/>
      <c r="K8" s="154" t="s">
        <v>43</v>
      </c>
      <c r="L8" s="150" t="s">
        <v>42</v>
      </c>
    </row>
    <row r="9" spans="1:14" ht="13" thickBot="1">
      <c r="A9" s="163"/>
      <c r="B9" s="164"/>
      <c r="C9" s="164"/>
      <c r="D9" s="165"/>
      <c r="E9" s="161" t="s">
        <v>41</v>
      </c>
      <c r="F9" s="161"/>
      <c r="G9" s="161"/>
      <c r="H9" s="174" t="s">
        <v>40</v>
      </c>
      <c r="I9" s="175"/>
      <c r="J9" s="176"/>
      <c r="K9" s="160"/>
      <c r="L9" s="151"/>
    </row>
    <row r="10" spans="1:14" ht="18" customHeight="1">
      <c r="A10" s="170" t="s">
        <v>39</v>
      </c>
      <c r="B10" s="172" t="s">
        <v>38</v>
      </c>
      <c r="C10" s="172" t="s">
        <v>37</v>
      </c>
      <c r="D10" s="153" t="s">
        <v>36</v>
      </c>
      <c r="E10" s="154" t="s">
        <v>35</v>
      </c>
      <c r="F10" s="156" t="s">
        <v>34</v>
      </c>
      <c r="G10" s="158" t="s">
        <v>33</v>
      </c>
      <c r="H10" s="177" t="s">
        <v>32</v>
      </c>
      <c r="I10" s="80" t="s">
        <v>31</v>
      </c>
      <c r="J10" s="79" t="s">
        <v>30</v>
      </c>
      <c r="K10" s="160"/>
      <c r="L10" s="151"/>
    </row>
    <row r="11" spans="1:14" ht="18" customHeight="1" thickBot="1">
      <c r="A11" s="171"/>
      <c r="B11" s="157"/>
      <c r="C11" s="173"/>
      <c r="D11" s="152"/>
      <c r="E11" s="155"/>
      <c r="F11" s="157"/>
      <c r="G11" s="159"/>
      <c r="H11" s="178"/>
      <c r="I11" s="78" t="s">
        <v>29</v>
      </c>
      <c r="J11" s="77" t="s">
        <v>28</v>
      </c>
      <c r="K11" s="155"/>
      <c r="L11" s="152"/>
    </row>
    <row r="12" spans="1:14" ht="13" thickTop="1">
      <c r="A12" s="90" t="s">
        <v>57</v>
      </c>
      <c r="B12" s="87">
        <v>710.46</v>
      </c>
      <c r="C12" s="65"/>
      <c r="D12" s="76" t="s">
        <v>27</v>
      </c>
      <c r="E12" s="97"/>
      <c r="F12" s="75"/>
      <c r="G12" s="105"/>
      <c r="H12" s="74"/>
      <c r="I12" s="72"/>
      <c r="J12" s="73"/>
      <c r="K12" s="64"/>
      <c r="L12" s="111"/>
    </row>
    <row r="13" spans="1:14">
      <c r="A13" s="91" t="s">
        <v>26</v>
      </c>
      <c r="B13" s="69">
        <v>0</v>
      </c>
      <c r="C13" s="89">
        <f>0.000143*(B15^0.802)</f>
        <v>2.768667622120273E-2</v>
      </c>
      <c r="D13" s="63" t="s">
        <v>27</v>
      </c>
      <c r="E13" s="99" t="s">
        <v>24</v>
      </c>
      <c r="F13" s="71" t="s">
        <v>21</v>
      </c>
      <c r="G13" s="106">
        <v>1</v>
      </c>
      <c r="H13" s="115">
        <f>C13/G13</f>
        <v>2.768667622120273E-2</v>
      </c>
      <c r="I13" s="119">
        <f>-$B$133/(SUM($B$15,$B$25,$B$35,$B$45,$B$55,$B$65,$B$75,$B$85,$B$95,$B$105)-SUM($B$20,$B$30,$B$40,$B$50,$B$60,$B$70,$B$80,$B$90,$B$100,$B$110))</f>
        <v>-1.75908659901148E-2</v>
      </c>
      <c r="J13" s="56">
        <f>ABS(I13*H13)</f>
        <v>4.8703261111887527E-4</v>
      </c>
      <c r="K13" s="55">
        <v>8.9999999999999999E+99</v>
      </c>
      <c r="L13" s="112">
        <f>J13^4/IF(K13=0,1,K13)</f>
        <v>6.2515780645901381E-114</v>
      </c>
      <c r="N13" s="117"/>
    </row>
    <row r="14" spans="1:14">
      <c r="A14" s="91" t="s">
        <v>25</v>
      </c>
      <c r="B14" s="69">
        <v>0</v>
      </c>
      <c r="C14" s="60">
        <v>0.01</v>
      </c>
      <c r="D14" s="63" t="s">
        <v>27</v>
      </c>
      <c r="E14" s="100" t="s">
        <v>24</v>
      </c>
      <c r="F14" s="62" t="s">
        <v>23</v>
      </c>
      <c r="G14" s="107">
        <f>SQRT(3)</f>
        <v>1.7320508075688772</v>
      </c>
      <c r="H14" s="57">
        <f>C14/G14</f>
        <v>5.773502691896258E-3</v>
      </c>
      <c r="I14" s="119">
        <f>-$B$133/(SUM($B$15,$B$25,$B$35,$B$45,$B$55,$B$65,$B$75,$B$85,$B$95,$B$105)-SUM($B$20,$B$30,$B$40,$B$50,$B$60,$B$70,$B$80,$B$90,$B$100,$B$110))</f>
        <v>-1.75908659901148E-2</v>
      </c>
      <c r="J14" s="56">
        <f>ABS(I14*H14)</f>
        <v>1.0156091214671413E-4</v>
      </c>
      <c r="K14" s="55">
        <v>8.9999999999999999E+99</v>
      </c>
      <c r="L14" s="112">
        <f>J14^4/IF(K14=0,1,K14)</f>
        <v>1.1821262506514766E-116</v>
      </c>
      <c r="N14" s="118"/>
    </row>
    <row r="15" spans="1:14">
      <c r="A15" s="92" t="s">
        <v>57</v>
      </c>
      <c r="B15" s="88">
        <f>SUM(B12:B14)</f>
        <v>710.46</v>
      </c>
      <c r="C15" s="53"/>
      <c r="D15" s="52" t="s">
        <v>27</v>
      </c>
      <c r="E15" s="101"/>
      <c r="F15" s="61"/>
      <c r="G15" s="108"/>
      <c r="H15" s="49">
        <f>SQRT(SUMSQ(H13:H14))</f>
        <v>2.828224484568094E-2</v>
      </c>
      <c r="I15" s="120">
        <f>-$B$133/(SUM($B$15,$B$25,$B$35,$B$45,$B$55,$B$65,$B$75,$B$85,$B$95,$B$105)-SUM($B$20,$B$30,$B$40,$B$50,$B$60,$B$70,$B$80,$B$90,$B$100,$B$110))</f>
        <v>-1.75908659901148E-2</v>
      </c>
      <c r="J15" s="50">
        <f>ABS(I15*H15)</f>
        <v>4.9750917897998842E-4</v>
      </c>
      <c r="K15" s="47">
        <f>H15^4/(H13^4/K13+H14^4/K14)</f>
        <v>9.781248441310008E+99</v>
      </c>
      <c r="L15" s="113">
        <f>J15^4/IF(K15=0,1,K15)</f>
        <v>6.2633993270966492E-114</v>
      </c>
    </row>
    <row r="16" spans="1:14">
      <c r="A16" s="93"/>
      <c r="B16" s="69"/>
      <c r="C16" s="60"/>
      <c r="D16" s="59"/>
      <c r="E16" s="97"/>
      <c r="F16" s="46"/>
      <c r="G16" s="106"/>
      <c r="H16" s="42"/>
      <c r="I16" s="72"/>
      <c r="J16" s="43"/>
      <c r="K16" s="64"/>
      <c r="L16" s="111"/>
    </row>
    <row r="17" spans="1:13">
      <c r="A17" s="94" t="s">
        <v>58</v>
      </c>
      <c r="B17" s="87">
        <v>430.06</v>
      </c>
      <c r="C17" s="65"/>
      <c r="D17" s="68" t="s">
        <v>27</v>
      </c>
      <c r="E17" s="97"/>
      <c r="F17" s="46"/>
      <c r="G17" s="106"/>
      <c r="H17" s="42"/>
      <c r="I17" s="72"/>
      <c r="J17" s="43"/>
      <c r="K17" s="64"/>
      <c r="L17" s="111"/>
    </row>
    <row r="18" spans="1:13">
      <c r="A18" s="91" t="s">
        <v>26</v>
      </c>
      <c r="B18" s="69">
        <v>0</v>
      </c>
      <c r="C18" s="89">
        <f>0.000143*(B20^0.802)</f>
        <v>1.8510848910830102E-2</v>
      </c>
      <c r="D18" s="63" t="s">
        <v>27</v>
      </c>
      <c r="E18" s="99" t="s">
        <v>24</v>
      </c>
      <c r="F18" s="71" t="s">
        <v>21</v>
      </c>
      <c r="G18" s="106">
        <v>1</v>
      </c>
      <c r="H18" s="57">
        <f>C18/G18</f>
        <v>1.8510848910830102E-2</v>
      </c>
      <c r="I18" s="119">
        <f>$B$133/(SUM($B$15,$B$25,$B$35,$B$45,$B$55,$B$65,$B$75,$B$85,$B$95,$B$105)-SUM($B$20,$B$30,$B$40,$B$50,$B$60,$B$70,$B$80,$B$90,$B$100,$B$110))</f>
        <v>1.75908659901148E-2</v>
      </c>
      <c r="J18" s="56">
        <f>ABS(I18*H18)</f>
        <v>3.2562186255367481E-4</v>
      </c>
      <c r="K18" s="55">
        <v>8.9999999999999999E+99</v>
      </c>
      <c r="L18" s="112">
        <f>J18^4/IF(K18=0,1,K18)</f>
        <v>1.2491417243404927E-114</v>
      </c>
    </row>
    <row r="19" spans="1:13">
      <c r="A19" s="91" t="s">
        <v>25</v>
      </c>
      <c r="B19" s="69">
        <v>0</v>
      </c>
      <c r="C19" s="60">
        <v>0.01</v>
      </c>
      <c r="D19" s="63" t="s">
        <v>27</v>
      </c>
      <c r="E19" s="100" t="s">
        <v>24</v>
      </c>
      <c r="F19" s="62" t="s">
        <v>23</v>
      </c>
      <c r="G19" s="107">
        <f>SQRT(3)</f>
        <v>1.7320508075688772</v>
      </c>
      <c r="H19" s="57">
        <f>C19/G19</f>
        <v>5.773502691896258E-3</v>
      </c>
      <c r="I19" s="119">
        <f>$B$133/(SUM($B$15,$B$25,$B$35,$B$45,$B$55,$B$65,$B$75,$B$85,$B$95,$B$105)-SUM($B$20,$B$30,$B$40,$B$50,$B$60,$B$70,$B$80,$B$90,$B$100,$B$110))</f>
        <v>1.75908659901148E-2</v>
      </c>
      <c r="J19" s="56">
        <f>ABS(I19*H19)</f>
        <v>1.0156091214671413E-4</v>
      </c>
      <c r="K19" s="55">
        <v>8.9999999999999999E+99</v>
      </c>
      <c r="L19" s="112">
        <f>J19^4/IF(K19=0,1,K19)</f>
        <v>1.1821262506514766E-116</v>
      </c>
    </row>
    <row r="20" spans="1:13">
      <c r="A20" s="92" t="s">
        <v>58</v>
      </c>
      <c r="B20" s="88">
        <f>SUM(B17:B19)</f>
        <v>430.06</v>
      </c>
      <c r="C20" s="53"/>
      <c r="D20" s="52" t="s">
        <v>27</v>
      </c>
      <c r="E20" s="101"/>
      <c r="F20" s="61"/>
      <c r="G20" s="108"/>
      <c r="H20" s="49">
        <f>SQRT(SUMSQ(H18:H19))</f>
        <v>1.9390329051692582E-2</v>
      </c>
      <c r="I20" s="120">
        <f>$B$133/(SUM($B$15,$B$25,$B$35,$B$45,$B$55,$B$65,$B$75,$B$85,$B$95,$B$105)-SUM($B$20,$B$30,$B$40,$B$50,$B$60,$B$70,$B$80,$B$90,$B$100,$B$110))</f>
        <v>1.75908659901148E-2</v>
      </c>
      <c r="J20" s="50">
        <f>ABS(I20*H20)</f>
        <v>3.4109267985255401E-4</v>
      </c>
      <c r="K20" s="47">
        <f>H20^4/(H18^4/K18+H19^4/K19)</f>
        <v>1.0734634399094912E+100</v>
      </c>
      <c r="L20" s="113">
        <f>J20^4/IF(K20=0,1,K20)</f>
        <v>1.2609629868470079E-114</v>
      </c>
    </row>
    <row r="21" spans="1:13">
      <c r="A21" s="93"/>
      <c r="B21" s="69"/>
      <c r="C21" s="60"/>
      <c r="D21" s="95"/>
      <c r="E21" s="42"/>
      <c r="F21" s="46"/>
      <c r="G21" s="44"/>
      <c r="H21" s="42"/>
      <c r="I21" s="128"/>
      <c r="J21" s="102"/>
      <c r="K21" s="64"/>
      <c r="L21" s="111"/>
    </row>
    <row r="22" spans="1:13">
      <c r="A22" s="94" t="s">
        <v>59</v>
      </c>
      <c r="B22" s="87">
        <v>761.22</v>
      </c>
      <c r="C22" s="65"/>
      <c r="D22" s="68" t="s">
        <v>27</v>
      </c>
      <c r="E22" s="97"/>
      <c r="F22" s="46"/>
      <c r="G22" s="106"/>
      <c r="H22" s="42"/>
      <c r="I22" s="72"/>
      <c r="J22" s="43"/>
      <c r="K22" s="64"/>
      <c r="L22" s="111"/>
    </row>
    <row r="23" spans="1:13">
      <c r="A23" s="91" t="s">
        <v>26</v>
      </c>
      <c r="B23" s="69">
        <v>0</v>
      </c>
      <c r="C23" s="89">
        <f>0.000143*(B25^0.802)</f>
        <v>2.9262215885444667E-2</v>
      </c>
      <c r="D23" s="63" t="s">
        <v>27</v>
      </c>
      <c r="E23" s="99" t="s">
        <v>24</v>
      </c>
      <c r="F23" s="71" t="s">
        <v>21</v>
      </c>
      <c r="G23" s="106">
        <v>1</v>
      </c>
      <c r="H23" s="115">
        <f>C23/G23</f>
        <v>2.9262215885444667E-2</v>
      </c>
      <c r="I23" s="119">
        <f>-$B$133/(SUM($B$15,$B$25,$B$35,$B$45,$B$55,$B$65,$B$75,$B$85,$B$95,$B$105)-SUM($B$20,$B$30,$B$40,$B$50,$B$60,$B$70,$B$80,$B$90,$B$100,$B$110))</f>
        <v>-1.75908659901148E-2</v>
      </c>
      <c r="J23" s="56">
        <f>ABS(I23*H23)</f>
        <v>5.1474771821466566E-4</v>
      </c>
      <c r="K23" s="55">
        <v>8.9999999999999999E+99</v>
      </c>
      <c r="L23" s="112">
        <f>J23^4/IF(K23=0,1,K23)</f>
        <v>7.8007293684361798E-114</v>
      </c>
    </row>
    <row r="24" spans="1:13">
      <c r="A24" s="91" t="s">
        <v>25</v>
      </c>
      <c r="B24" s="69">
        <v>0</v>
      </c>
      <c r="C24" s="60">
        <v>0.01</v>
      </c>
      <c r="D24" s="63" t="s">
        <v>27</v>
      </c>
      <c r="E24" s="100" t="s">
        <v>24</v>
      </c>
      <c r="F24" s="62" t="s">
        <v>23</v>
      </c>
      <c r="G24" s="107">
        <f>SQRT(3)</f>
        <v>1.7320508075688772</v>
      </c>
      <c r="H24" s="57">
        <f>C24/G24</f>
        <v>5.773502691896258E-3</v>
      </c>
      <c r="I24" s="119">
        <f>-$B$133/(SUM($B$15,$B$25,$B$35,$B$45,$B$55,$B$65,$B$75,$B$85,$B$95,$B$105)-SUM($B$20,$B$30,$B$40,$B$50,$B$60,$B$70,$B$80,$B$90,$B$100,$B$110))</f>
        <v>-1.75908659901148E-2</v>
      </c>
      <c r="J24" s="56">
        <f>ABS(I24*H24)</f>
        <v>1.0156091214671413E-4</v>
      </c>
      <c r="K24" s="55">
        <v>8.9999999999999999E+99</v>
      </c>
      <c r="L24" s="112">
        <f>J24^4/IF(K24=0,1,K24)</f>
        <v>1.1821262506514766E-116</v>
      </c>
    </row>
    <row r="25" spans="1:13">
      <c r="A25" s="92" t="s">
        <v>59</v>
      </c>
      <c r="B25" s="88">
        <f>SUM(B22:B24)</f>
        <v>761.22</v>
      </c>
      <c r="C25" s="53"/>
      <c r="D25" s="52" t="s">
        <v>27</v>
      </c>
      <c r="E25" s="101"/>
      <c r="F25" s="61"/>
      <c r="G25" s="108"/>
      <c r="H25" s="49">
        <f>SQRT(SUMSQ(H23:H24))</f>
        <v>2.9826340906314731E-2</v>
      </c>
      <c r="I25" s="120">
        <f>-$B$133/(SUM($B$15,$B$25,$B$35,$B$45,$B$55,$B$65,$B$75,$B$85,$B$95,$B$105)-SUM($B$20,$B$30,$B$40,$B$50,$B$60,$B$70,$B$80,$B$90,$B$100,$B$110))</f>
        <v>-1.75908659901148E-2</v>
      </c>
      <c r="J25" s="50">
        <f>ABS(I25*H25)</f>
        <v>5.2467116585846161E-4</v>
      </c>
      <c r="K25" s="47">
        <f>H25^4/(H23^4/K23+H24^4/K24)</f>
        <v>9.6996473548313564E+99</v>
      </c>
      <c r="L25" s="113">
        <f>J25^4/IF(K25=0,1,K25)</f>
        <v>7.8125506309426888E-114</v>
      </c>
    </row>
    <row r="26" spans="1:13">
      <c r="A26" s="93"/>
      <c r="B26" s="69"/>
      <c r="C26" s="60"/>
      <c r="D26" s="59"/>
      <c r="E26" s="97"/>
      <c r="F26" s="46"/>
      <c r="G26" s="106"/>
      <c r="H26" s="42"/>
      <c r="I26" s="72"/>
      <c r="J26" s="43"/>
      <c r="K26" s="64"/>
      <c r="L26" s="111"/>
    </row>
    <row r="27" spans="1:13">
      <c r="A27" s="94" t="s">
        <v>60</v>
      </c>
      <c r="B27" s="87">
        <v>404.08</v>
      </c>
      <c r="C27" s="65"/>
      <c r="D27" s="68" t="s">
        <v>27</v>
      </c>
      <c r="E27" s="97"/>
      <c r="F27" s="46"/>
      <c r="G27" s="106"/>
      <c r="H27" s="42"/>
      <c r="I27" s="72"/>
      <c r="J27" s="43"/>
      <c r="K27" s="64"/>
      <c r="L27" s="111"/>
    </row>
    <row r="28" spans="1:13">
      <c r="A28" s="91" t="s">
        <v>26</v>
      </c>
      <c r="B28" s="69">
        <v>0</v>
      </c>
      <c r="C28" s="89">
        <f>0.000143*(B30^0.802)</f>
        <v>1.7608520065907528E-2</v>
      </c>
      <c r="D28" s="63" t="s">
        <v>27</v>
      </c>
      <c r="E28" s="99" t="s">
        <v>24</v>
      </c>
      <c r="F28" s="71" t="s">
        <v>21</v>
      </c>
      <c r="G28" s="106">
        <v>1</v>
      </c>
      <c r="H28" s="57">
        <f>C28/G28</f>
        <v>1.7608520065907528E-2</v>
      </c>
      <c r="I28" s="119">
        <f>$B$133/(SUM($B$15,$B$25,$B$35,$B$45,$B$55,$B$65,$B$75,$B$85,$B$95,$B$105)-SUM($B$20,$B$30,$B$40,$B$50,$B$60,$B$70,$B$80,$B$90,$B$100,$B$110))</f>
        <v>1.75908659901148E-2</v>
      </c>
      <c r="J28" s="56">
        <f>ABS(I28*H28)</f>
        <v>3.0974911676362677E-4</v>
      </c>
      <c r="K28" s="55">
        <v>8.9999999999999999E+99</v>
      </c>
      <c r="L28" s="112">
        <f>J28^4/IF(K28=0,1,K28)</f>
        <v>1.0228166692256175E-114</v>
      </c>
    </row>
    <row r="29" spans="1:13">
      <c r="A29" s="91" t="s">
        <v>25</v>
      </c>
      <c r="B29" s="69">
        <v>0</v>
      </c>
      <c r="C29" s="60">
        <v>0.01</v>
      </c>
      <c r="D29" s="63" t="s">
        <v>27</v>
      </c>
      <c r="E29" s="100" t="s">
        <v>24</v>
      </c>
      <c r="F29" s="62" t="s">
        <v>23</v>
      </c>
      <c r="G29" s="107">
        <f>SQRT(3)</f>
        <v>1.7320508075688772</v>
      </c>
      <c r="H29" s="57">
        <f>C29/G29</f>
        <v>5.773502691896258E-3</v>
      </c>
      <c r="I29" s="119">
        <f>$B$133/(SUM($B$15,$B$25,$B$35,$B$45,$B$55,$B$65,$B$75,$B$85,$B$95,$B$105)-SUM($B$20,$B$30,$B$40,$B$50,$B$60,$B$70,$B$80,$B$90,$B$100,$B$110))</f>
        <v>1.75908659901148E-2</v>
      </c>
      <c r="J29" s="56">
        <f>ABS(I29*H29)</f>
        <v>1.0156091214671413E-4</v>
      </c>
      <c r="K29" s="55">
        <v>8.9999999999999999E+99</v>
      </c>
      <c r="L29" s="112">
        <f>J29^4/IF(K29=0,1,K29)</f>
        <v>1.1821262506514766E-116</v>
      </c>
    </row>
    <row r="30" spans="1:13">
      <c r="A30" s="92" t="s">
        <v>60</v>
      </c>
      <c r="B30" s="88">
        <f>SUM(B27:B29)</f>
        <v>404.08</v>
      </c>
      <c r="C30" s="53"/>
      <c r="D30" s="52" t="s">
        <v>27</v>
      </c>
      <c r="E30" s="101"/>
      <c r="F30" s="61"/>
      <c r="G30" s="108"/>
      <c r="H30" s="49">
        <f>SQRT(SUMSQ(H28:H29))</f>
        <v>1.8530874567726192E-2</v>
      </c>
      <c r="I30" s="120">
        <f>$B$133/(SUM($B$15,$B$25,$B$35,$B$45,$B$55,$B$65,$B$75,$B$85,$B$95,$B$105)-SUM($B$20,$B$30,$B$40,$B$50,$B$60,$B$70,$B$80,$B$90,$B$100,$B$110))</f>
        <v>1.75908659901148E-2</v>
      </c>
      <c r="J30" s="50">
        <f>ABS(I30*H30)</f>
        <v>3.2597413120049798E-4</v>
      </c>
      <c r="K30" s="47">
        <f>H30^4/(H28^4/K28+H29^4/K29)</f>
        <v>1.0912999859345919E+100</v>
      </c>
      <c r="L30" s="113">
        <f>J30^4/IF(K30=0,1,K30)</f>
        <v>1.0346379317321326E-114</v>
      </c>
    </row>
    <row r="31" spans="1:13">
      <c r="A31" s="93"/>
      <c r="B31" s="69"/>
      <c r="C31" s="60"/>
      <c r="D31" s="95"/>
      <c r="E31" s="42"/>
      <c r="F31" s="46"/>
      <c r="G31" s="44"/>
      <c r="H31" s="42"/>
      <c r="I31" s="128"/>
      <c r="J31" s="102"/>
      <c r="K31" s="64"/>
      <c r="L31" s="111"/>
      <c r="M31" s="18"/>
    </row>
    <row r="32" spans="1:13" s="18" customFormat="1">
      <c r="A32" s="94" t="s">
        <v>61</v>
      </c>
      <c r="B32" s="87">
        <v>719.98</v>
      </c>
      <c r="C32" s="65"/>
      <c r="D32" s="68" t="s">
        <v>27</v>
      </c>
      <c r="E32" s="97"/>
      <c r="F32" s="46"/>
      <c r="G32" s="106"/>
      <c r="H32" s="42"/>
      <c r="I32" s="72"/>
      <c r="J32" s="43"/>
      <c r="K32" s="64"/>
      <c r="L32" s="111"/>
    </row>
    <row r="33" spans="1:12">
      <c r="A33" s="91" t="s">
        <v>26</v>
      </c>
      <c r="B33" s="69">
        <v>0</v>
      </c>
      <c r="C33" s="89">
        <f>0.000143*(B35^0.802)</f>
        <v>2.7983821657037136E-2</v>
      </c>
      <c r="D33" s="63" t="s">
        <v>27</v>
      </c>
      <c r="E33" s="99" t="s">
        <v>24</v>
      </c>
      <c r="F33" s="71" t="s">
        <v>21</v>
      </c>
      <c r="G33" s="106">
        <v>1</v>
      </c>
      <c r="H33" s="115">
        <f>C33/G33</f>
        <v>2.7983821657037136E-2</v>
      </c>
      <c r="I33" s="119">
        <f>-$B$133/(SUM($B$15,$B$25,$B$35,$B$45,$B$55,$B$65,$B$75,$B$85,$B$95,$B$105)-SUM($B$20,$B$30,$B$40,$B$50,$B$60,$B$70,$B$80,$B$90,$B$100,$B$110))</f>
        <v>-1.75908659901148E-2</v>
      </c>
      <c r="J33" s="56">
        <f>ABS(I33*H33)</f>
        <v>4.9225965666021252E-4</v>
      </c>
      <c r="K33" s="55">
        <v>8.9999999999999999E+99</v>
      </c>
      <c r="L33" s="112">
        <f>J33^4/IF(K33=0,1,K33)</f>
        <v>6.5243081999027666E-114</v>
      </c>
    </row>
    <row r="34" spans="1:12">
      <c r="A34" s="91" t="s">
        <v>25</v>
      </c>
      <c r="B34" s="69">
        <v>0</v>
      </c>
      <c r="C34" s="60">
        <v>0.01</v>
      </c>
      <c r="D34" s="63" t="s">
        <v>27</v>
      </c>
      <c r="E34" s="100" t="s">
        <v>24</v>
      </c>
      <c r="F34" s="62" t="s">
        <v>23</v>
      </c>
      <c r="G34" s="107">
        <f>SQRT(3)</f>
        <v>1.7320508075688772</v>
      </c>
      <c r="H34" s="57">
        <f>C34/G34</f>
        <v>5.773502691896258E-3</v>
      </c>
      <c r="I34" s="119">
        <f>-$B$133/(SUM($B$15,$B$25,$B$35,$B$45,$B$55,$B$65,$B$75,$B$85,$B$95,$B$105)-SUM($B$20,$B$30,$B$40,$B$50,$B$60,$B$70,$B$80,$B$90,$B$100,$B$110))</f>
        <v>-1.75908659901148E-2</v>
      </c>
      <c r="J34" s="56">
        <f>ABS(I34*H34)</f>
        <v>1.0156091214671413E-4</v>
      </c>
      <c r="K34" s="55">
        <v>8.9999999999999999E+99</v>
      </c>
      <c r="L34" s="112">
        <f>J34^4/IF(K34=0,1,K34)</f>
        <v>1.1821262506514766E-116</v>
      </c>
    </row>
    <row r="35" spans="1:12">
      <c r="A35" s="92" t="s">
        <v>61</v>
      </c>
      <c r="B35" s="88">
        <f>SUM(B32:B34)</f>
        <v>719.98</v>
      </c>
      <c r="C35" s="53"/>
      <c r="D35" s="52" t="s">
        <v>27</v>
      </c>
      <c r="E35" s="101"/>
      <c r="F35" s="61"/>
      <c r="G35" s="108"/>
      <c r="H35" s="49">
        <f>SQRT(SUMSQ(H33:H34))</f>
        <v>2.857319736862142E-2</v>
      </c>
      <c r="I35" s="120">
        <f>-$B$133/(SUM($B$15,$B$25,$B$35,$B$45,$B$55,$B$65,$B$75,$B$85,$B$95,$B$105)-SUM($B$20,$B$30,$B$40,$B$50,$B$60,$B$70,$B$80,$B$90,$B$100,$B$110))</f>
        <v>-1.75908659901148E-2</v>
      </c>
      <c r="J35" s="50">
        <f>ABS(I35*H35)</f>
        <v>5.026272858205202E-4</v>
      </c>
      <c r="K35" s="47">
        <f>H35^4/(H33^4/K33+H34^4/K34)</f>
        <v>9.7648055384328734E+99</v>
      </c>
      <c r="L35" s="113">
        <f>J35^4/IF(K35=0,1,K35)</f>
        <v>6.5361294624092813E-114</v>
      </c>
    </row>
    <row r="36" spans="1:12">
      <c r="A36" s="93"/>
      <c r="B36" s="69"/>
      <c r="C36" s="60"/>
      <c r="D36" s="59"/>
      <c r="E36" s="97"/>
      <c r="F36" s="46"/>
      <c r="G36" s="106"/>
      <c r="H36" s="42"/>
      <c r="I36" s="72"/>
      <c r="J36" s="43"/>
      <c r="K36" s="64"/>
      <c r="L36" s="111"/>
    </row>
    <row r="37" spans="1:12">
      <c r="A37" s="94" t="s">
        <v>62</v>
      </c>
      <c r="B37" s="87">
        <v>400.13</v>
      </c>
      <c r="C37" s="65"/>
      <c r="D37" s="68" t="s">
        <v>27</v>
      </c>
      <c r="E37" s="97"/>
      <c r="F37" s="46"/>
      <c r="G37" s="106"/>
      <c r="H37" s="42"/>
      <c r="I37" s="72"/>
      <c r="J37" s="43"/>
      <c r="K37" s="64"/>
      <c r="L37" s="111"/>
    </row>
    <row r="38" spans="1:12">
      <c r="A38" s="91" t="s">
        <v>26</v>
      </c>
      <c r="B38" s="69">
        <v>0</v>
      </c>
      <c r="C38" s="89">
        <f>0.000143*(B40^0.802)</f>
        <v>1.7470338948645317E-2</v>
      </c>
      <c r="D38" s="63" t="s">
        <v>27</v>
      </c>
      <c r="E38" s="99" t="s">
        <v>24</v>
      </c>
      <c r="F38" s="71" t="s">
        <v>21</v>
      </c>
      <c r="G38" s="106">
        <v>1</v>
      </c>
      <c r="H38" s="57">
        <f>C38/G38</f>
        <v>1.7470338948645317E-2</v>
      </c>
      <c r="I38" s="119">
        <f>$B$133/(SUM($B$15,$B$25,$B$35,$B$45,$B$55,$B$65,$B$75,$B$85,$B$95,$B$105)-SUM($B$20,$B$30,$B$40,$B$50,$B$60,$B$70,$B$80,$B$90,$B$100,$B$110))</f>
        <v>1.75908659901148E-2</v>
      </c>
      <c r="J38" s="56">
        <f>ABS(I38*H38)</f>
        <v>3.0731839124750288E-4</v>
      </c>
      <c r="K38" s="55">
        <v>8.9999999999999999E+99</v>
      </c>
      <c r="L38" s="112">
        <f>J38^4/IF(K38=0,1,K38)</f>
        <v>9.9108680667460474E-115</v>
      </c>
    </row>
    <row r="39" spans="1:12">
      <c r="A39" s="91" t="s">
        <v>25</v>
      </c>
      <c r="B39" s="69">
        <v>0</v>
      </c>
      <c r="C39" s="60">
        <v>0.01</v>
      </c>
      <c r="D39" s="63" t="s">
        <v>27</v>
      </c>
      <c r="E39" s="100" t="s">
        <v>24</v>
      </c>
      <c r="F39" s="62" t="s">
        <v>23</v>
      </c>
      <c r="G39" s="107">
        <f>SQRT(3)</f>
        <v>1.7320508075688772</v>
      </c>
      <c r="H39" s="57">
        <f>C39/G39</f>
        <v>5.773502691896258E-3</v>
      </c>
      <c r="I39" s="119">
        <f>$B$133/(SUM($B$15,$B$25,$B$35,$B$45,$B$55,$B$65,$B$75,$B$85,$B$95,$B$105)-SUM($B$20,$B$30,$B$40,$B$50,$B$60,$B$70,$B$80,$B$90,$B$100,$B$110))</f>
        <v>1.75908659901148E-2</v>
      </c>
      <c r="J39" s="56">
        <f>ABS(I39*H39)</f>
        <v>1.0156091214671413E-4</v>
      </c>
      <c r="K39" s="55">
        <v>8.9999999999999999E+99</v>
      </c>
      <c r="L39" s="112">
        <f>J39^4/IF(K39=0,1,K39)</f>
        <v>1.1821262506514766E-116</v>
      </c>
    </row>
    <row r="40" spans="1:12">
      <c r="A40" s="92" t="s">
        <v>62</v>
      </c>
      <c r="B40" s="88">
        <f>SUM(B37:B39)</f>
        <v>400.13</v>
      </c>
      <c r="C40" s="53"/>
      <c r="D40" s="52" t="s">
        <v>27</v>
      </c>
      <c r="E40" s="101"/>
      <c r="F40" s="61"/>
      <c r="G40" s="108"/>
      <c r="H40" s="49">
        <f>SQRT(SUMSQ(H38:H39))</f>
        <v>1.8399621635074099E-2</v>
      </c>
      <c r="I40" s="120">
        <f>$B$133/(SUM($B$15,$B$25,$B$35,$B$45,$B$55,$B$65,$B$75,$B$85,$B$95,$B$105)-SUM($B$20,$B$30,$B$40,$B$50,$B$60,$B$70,$B$80,$B$90,$B$100,$B$110))</f>
        <v>1.75908659901148E-2</v>
      </c>
      <c r="J40" s="50">
        <f>ABS(I40*H40)</f>
        <v>3.2366527845140543E-4</v>
      </c>
      <c r="K40" s="47">
        <f>H40^4/(H38^4/K38+H39^4/K39)</f>
        <v>1.0942670555386347E+100</v>
      </c>
      <c r="L40" s="113">
        <f>J40^4/IF(K40=0,1,K40)</f>
        <v>1.0029080691811189E-114</v>
      </c>
    </row>
    <row r="41" spans="1:12" s="18" customFormat="1">
      <c r="A41" s="93"/>
      <c r="B41" s="69"/>
      <c r="C41" s="60"/>
      <c r="D41" s="95"/>
      <c r="E41" s="42"/>
      <c r="F41" s="46"/>
      <c r="G41" s="44"/>
      <c r="H41" s="42"/>
      <c r="I41" s="128"/>
      <c r="J41" s="102"/>
      <c r="K41" s="64"/>
      <c r="L41" s="111"/>
    </row>
    <row r="42" spans="1:12" s="18" customFormat="1">
      <c r="A42" s="94" t="s">
        <v>63</v>
      </c>
      <c r="B42" s="87">
        <v>706.88</v>
      </c>
      <c r="C42" s="65"/>
      <c r="D42" s="68" t="s">
        <v>27</v>
      </c>
      <c r="E42" s="97"/>
      <c r="F42" s="46"/>
      <c r="G42" s="106"/>
      <c r="H42" s="42"/>
      <c r="I42" s="72"/>
      <c r="J42" s="43"/>
      <c r="K42" s="64"/>
      <c r="L42" s="111"/>
    </row>
    <row r="43" spans="1:12">
      <c r="A43" s="91" t="s">
        <v>26</v>
      </c>
      <c r="B43" s="69">
        <v>0</v>
      </c>
      <c r="C43" s="89">
        <f>0.000143*(B45^0.802)</f>
        <v>2.7574730984136469E-2</v>
      </c>
      <c r="D43" s="63" t="s">
        <v>27</v>
      </c>
      <c r="E43" s="99" t="s">
        <v>24</v>
      </c>
      <c r="F43" s="71" t="s">
        <v>21</v>
      </c>
      <c r="G43" s="106">
        <v>1</v>
      </c>
      <c r="H43" s="115">
        <f>C43/G43</f>
        <v>2.7574730984136469E-2</v>
      </c>
      <c r="I43" s="119">
        <f>-$B$133/(SUM($B$15,$B$25,$B$35,$B$45,$B$55,$B$65,$B$75,$B$85,$B$95,$B$105)-SUM($B$20,$B$30,$B$40,$B$50,$B$60,$B$70,$B$80,$B$90,$B$100,$B$110))</f>
        <v>-1.75908659901148E-2</v>
      </c>
      <c r="J43" s="56">
        <f>ABS(I43*H43)</f>
        <v>4.8506339745541102E-4</v>
      </c>
      <c r="K43" s="55">
        <v>8.9999999999999999E+99</v>
      </c>
      <c r="L43" s="112">
        <f>J43^4/IF(K43=0,1,K43)</f>
        <v>6.1510818745506835E-114</v>
      </c>
    </row>
    <row r="44" spans="1:12">
      <c r="A44" s="91" t="s">
        <v>25</v>
      </c>
      <c r="B44" s="69">
        <v>0</v>
      </c>
      <c r="C44" s="60">
        <v>0.01</v>
      </c>
      <c r="D44" s="63" t="s">
        <v>27</v>
      </c>
      <c r="E44" s="100" t="s">
        <v>24</v>
      </c>
      <c r="F44" s="62" t="s">
        <v>23</v>
      </c>
      <c r="G44" s="107">
        <f>SQRT(3)</f>
        <v>1.7320508075688772</v>
      </c>
      <c r="H44" s="57">
        <f>C44/G44</f>
        <v>5.773502691896258E-3</v>
      </c>
      <c r="I44" s="119">
        <f>-$B$133/(SUM($B$15,$B$25,$B$35,$B$45,$B$55,$B$65,$B$75,$B$85,$B$95,$B$105)-SUM($B$20,$B$30,$B$40,$B$50,$B$60,$B$70,$B$80,$B$90,$B$100,$B$110))</f>
        <v>-1.75908659901148E-2</v>
      </c>
      <c r="J44" s="56">
        <f>ABS(I44*H44)</f>
        <v>1.0156091214671413E-4</v>
      </c>
      <c r="K44" s="55">
        <v>8.9999999999999999E+99</v>
      </c>
      <c r="L44" s="112">
        <f>J44^4/IF(K44=0,1,K44)</f>
        <v>1.1821262506514766E-116</v>
      </c>
    </row>
    <row r="45" spans="1:12">
      <c r="A45" s="92" t="s">
        <v>63</v>
      </c>
      <c r="B45" s="88">
        <f>SUM(B42:B44)</f>
        <v>706.88</v>
      </c>
      <c r="C45" s="53"/>
      <c r="D45" s="52" t="s">
        <v>27</v>
      </c>
      <c r="E45" s="101"/>
      <c r="F45" s="61"/>
      <c r="G45" s="108"/>
      <c r="H45" s="49">
        <f>SQRT(SUMSQ(H43:H44))</f>
        <v>2.817266622421153E-2</v>
      </c>
      <c r="I45" s="120">
        <f>-$B$133/(SUM($B$15,$B$25,$B$35,$B$45,$B$55,$B$65,$B$75,$B$85,$B$95,$B$105)-SUM($B$20,$B$30,$B$40,$B$50,$B$60,$B$70,$B$80,$B$90,$B$100,$B$110))</f>
        <v>-1.75908659901148E-2</v>
      </c>
      <c r="J45" s="50">
        <f>ABS(I45*H45)</f>
        <v>4.9558159613433855E-4</v>
      </c>
      <c r="K45" s="47">
        <f>H45^4/(H43^4/K43+H44^4/K44)</f>
        <v>9.7875803060933661E+99</v>
      </c>
      <c r="L45" s="113">
        <f>J45^4/IF(K45=0,1,K45)</f>
        <v>6.1629031370571996E-114</v>
      </c>
    </row>
    <row r="46" spans="1:12">
      <c r="A46" s="93"/>
      <c r="B46" s="69"/>
      <c r="C46" s="60"/>
      <c r="D46" s="59"/>
      <c r="E46" s="97"/>
      <c r="F46" s="46"/>
      <c r="G46" s="106"/>
      <c r="H46" s="42"/>
      <c r="I46" s="72"/>
      <c r="J46" s="43"/>
      <c r="K46" s="64"/>
      <c r="L46" s="111"/>
    </row>
    <row r="47" spans="1:12">
      <c r="A47" s="94" t="s">
        <v>64</v>
      </c>
      <c r="B47" s="87">
        <v>369.8</v>
      </c>
      <c r="C47" s="65"/>
      <c r="D47" s="68" t="s">
        <v>27</v>
      </c>
      <c r="E47" s="97"/>
      <c r="F47" s="46"/>
      <c r="G47" s="106"/>
      <c r="H47" s="42"/>
      <c r="I47" s="72"/>
      <c r="J47" s="43"/>
      <c r="K47" s="64"/>
      <c r="L47" s="111"/>
    </row>
    <row r="48" spans="1:12">
      <c r="A48" s="91" t="s">
        <v>26</v>
      </c>
      <c r="B48" s="69">
        <v>0</v>
      </c>
      <c r="C48" s="89">
        <f>0.000143*(B50^0.802)</f>
        <v>1.6400062258584439E-2</v>
      </c>
      <c r="D48" s="63" t="s">
        <v>27</v>
      </c>
      <c r="E48" s="99" t="s">
        <v>24</v>
      </c>
      <c r="F48" s="71" t="s">
        <v>21</v>
      </c>
      <c r="G48" s="106">
        <v>1</v>
      </c>
      <c r="H48" s="57">
        <f>C48/G48</f>
        <v>1.6400062258584439E-2</v>
      </c>
      <c r="I48" s="119">
        <f>$B$133/(SUM($B$15,$B$25,$B$35,$B$45,$B$55,$B$65,$B$75,$B$85,$B$95,$B$105)-SUM($B$20,$B$30,$B$40,$B$50,$B$60,$B$70,$B$80,$B$90,$B$100,$B$110))</f>
        <v>1.75908659901148E-2</v>
      </c>
      <c r="J48" s="56">
        <f>ABS(I48*H48)</f>
        <v>2.8849129742029834E-4</v>
      </c>
      <c r="K48" s="55">
        <v>8.9999999999999999E+99</v>
      </c>
      <c r="L48" s="112">
        <f>J48^4/IF(K48=0,1,K48)</f>
        <v>7.6964128832881289E-115</v>
      </c>
    </row>
    <row r="49" spans="1:12">
      <c r="A49" s="91" t="s">
        <v>25</v>
      </c>
      <c r="B49" s="69">
        <v>0</v>
      </c>
      <c r="C49" s="60">
        <v>0.01</v>
      </c>
      <c r="D49" s="63" t="s">
        <v>27</v>
      </c>
      <c r="E49" s="100" t="s">
        <v>24</v>
      </c>
      <c r="F49" s="62" t="s">
        <v>23</v>
      </c>
      <c r="G49" s="107">
        <f>SQRT(3)</f>
        <v>1.7320508075688772</v>
      </c>
      <c r="H49" s="57">
        <f>C49/G49</f>
        <v>5.773502691896258E-3</v>
      </c>
      <c r="I49" s="119">
        <f>$B$133/(SUM($B$15,$B$25,$B$35,$B$45,$B$55,$B$65,$B$75,$B$85,$B$95,$B$105)-SUM($B$20,$B$30,$B$40,$B$50,$B$60,$B$70,$B$80,$B$90,$B$100,$B$110))</f>
        <v>1.75908659901148E-2</v>
      </c>
      <c r="J49" s="56">
        <f>ABS(I49*H49)</f>
        <v>1.0156091214671413E-4</v>
      </c>
      <c r="K49" s="55">
        <v>8.9999999999999999E+99</v>
      </c>
      <c r="L49" s="112">
        <f>J49^4/IF(K49=0,1,K49)</f>
        <v>1.1821262506514766E-116</v>
      </c>
    </row>
    <row r="50" spans="1:12">
      <c r="A50" s="92" t="s">
        <v>64</v>
      </c>
      <c r="B50" s="88">
        <f>SUM(B47:B49)</f>
        <v>369.8</v>
      </c>
      <c r="C50" s="53"/>
      <c r="D50" s="52" t="s">
        <v>27</v>
      </c>
      <c r="E50" s="101"/>
      <c r="F50" s="61"/>
      <c r="G50" s="108"/>
      <c r="H50" s="49">
        <f>SQRT(SUMSQ(H48:H49))</f>
        <v>1.7386643592677085E-2</v>
      </c>
      <c r="I50" s="120">
        <f>$B$133/(SUM($B$15,$B$25,$B$35,$B$45,$B$55,$B$65,$B$75,$B$85,$B$95,$B$105)-SUM($B$20,$B$30,$B$40,$B$50,$B$60,$B$70,$B$80,$B$90,$B$100,$B$110))</f>
        <v>1.75908659901148E-2</v>
      </c>
      <c r="J50" s="50">
        <f>ABS(I50*H50)</f>
        <v>3.0584611745667072E-4</v>
      </c>
      <c r="K50" s="47">
        <f>H50^4/(H48^4/K48+H49^4/K49)</f>
        <v>1.1197052547439569E+100</v>
      </c>
      <c r="L50" s="113">
        <f>J50^4/IF(K50=0,1,K50)</f>
        <v>7.8146255083532742E-115</v>
      </c>
    </row>
    <row r="51" spans="1:12" s="18" customFormat="1">
      <c r="A51" s="93"/>
      <c r="B51" s="69"/>
      <c r="C51" s="60"/>
      <c r="D51" s="95"/>
      <c r="E51" s="42"/>
      <c r="F51" s="46"/>
      <c r="G51" s="44"/>
      <c r="H51" s="42"/>
      <c r="I51" s="128"/>
      <c r="J51" s="102"/>
      <c r="K51" s="64"/>
      <c r="L51" s="111"/>
    </row>
    <row r="52" spans="1:12" s="18" customFormat="1">
      <c r="A52" s="94" t="s">
        <v>65</v>
      </c>
      <c r="B52" s="87">
        <v>727.45</v>
      </c>
      <c r="C52" s="65"/>
      <c r="D52" s="68" t="s">
        <v>27</v>
      </c>
      <c r="E52" s="97"/>
      <c r="F52" s="46"/>
      <c r="G52" s="106"/>
      <c r="H52" s="42"/>
      <c r="I52" s="72"/>
      <c r="J52" s="43"/>
      <c r="K52" s="64"/>
      <c r="L52" s="111"/>
    </row>
    <row r="53" spans="1:12">
      <c r="A53" s="91" t="s">
        <v>26</v>
      </c>
      <c r="B53" s="69">
        <v>0</v>
      </c>
      <c r="C53" s="89">
        <f>0.000143*(B55^0.802)</f>
        <v>2.8216436318934827E-2</v>
      </c>
      <c r="D53" s="63" t="s">
        <v>27</v>
      </c>
      <c r="E53" s="99" t="s">
        <v>24</v>
      </c>
      <c r="F53" s="71" t="s">
        <v>21</v>
      </c>
      <c r="G53" s="106">
        <v>1</v>
      </c>
      <c r="H53" s="115">
        <f>C53/G53</f>
        <v>2.8216436318934827E-2</v>
      </c>
      <c r="I53" s="119">
        <f>-$B$133/(SUM($B$15,$B$25,$B$35,$B$45,$B$55,$B$65,$B$75,$B$85,$B$95,$B$105)-SUM($B$20,$B$30,$B$40,$B$50,$B$60,$B$70,$B$80,$B$90,$B$100,$B$110))</f>
        <v>-1.75908659901148E-2</v>
      </c>
      <c r="J53" s="56">
        <f>ABS(I53*H53)</f>
        <v>4.9635155000499068E-4</v>
      </c>
      <c r="K53" s="55">
        <v>8.9999999999999999E+99</v>
      </c>
      <c r="L53" s="112">
        <f>J53^4/IF(K53=0,1,K53)</f>
        <v>6.7439605367032476E-114</v>
      </c>
    </row>
    <row r="54" spans="1:12">
      <c r="A54" s="91" t="s">
        <v>25</v>
      </c>
      <c r="B54" s="69">
        <v>0</v>
      </c>
      <c r="C54" s="60">
        <v>0.01</v>
      </c>
      <c r="D54" s="63" t="s">
        <v>27</v>
      </c>
      <c r="E54" s="100" t="s">
        <v>24</v>
      </c>
      <c r="F54" s="62" t="s">
        <v>23</v>
      </c>
      <c r="G54" s="107">
        <f>SQRT(3)</f>
        <v>1.7320508075688772</v>
      </c>
      <c r="H54" s="57">
        <f>C54/G54</f>
        <v>5.773502691896258E-3</v>
      </c>
      <c r="I54" s="119">
        <f>-$B$133/(SUM($B$15,$B$25,$B$35,$B$45,$B$55,$B$65,$B$75,$B$85,$B$95,$B$105)-SUM($B$20,$B$30,$B$40,$B$50,$B$60,$B$70,$B$80,$B$90,$B$100,$B$110))</f>
        <v>-1.75908659901148E-2</v>
      </c>
      <c r="J54" s="56">
        <f>ABS(I54*H54)</f>
        <v>1.0156091214671413E-4</v>
      </c>
      <c r="K54" s="55">
        <v>8.9999999999999999E+99</v>
      </c>
      <c r="L54" s="112">
        <f>J54^4/IF(K54=0,1,K54)</f>
        <v>1.1821262506514766E-116</v>
      </c>
    </row>
    <row r="55" spans="1:12">
      <c r="A55" s="92" t="s">
        <v>65</v>
      </c>
      <c r="B55" s="88">
        <f>SUM(B52:B54)</f>
        <v>727.45</v>
      </c>
      <c r="C55" s="53"/>
      <c r="D55" s="52" t="s">
        <v>27</v>
      </c>
      <c r="E55" s="101"/>
      <c r="F55" s="61"/>
      <c r="G55" s="108"/>
      <c r="H55" s="49">
        <f>SQRT(SUMSQ(H53:H54))</f>
        <v>2.8801052270252866E-2</v>
      </c>
      <c r="I55" s="120">
        <f>-$B$133/(SUM($B$15,$B$25,$B$35,$B$45,$B$55,$B$65,$B$75,$B$85,$B$95,$B$105)-SUM($B$20,$B$30,$B$40,$B$50,$B$60,$B$70,$B$80,$B$90,$B$100,$B$110))</f>
        <v>-1.75908659901148E-2</v>
      </c>
      <c r="J55" s="50">
        <f>ABS(I55*H55)</f>
        <v>5.0663545086030977E-4</v>
      </c>
      <c r="K55" s="47">
        <f>H55^4/(H53^4/K53+H54^4/K54)</f>
        <v>9.7522918066871044E+99</v>
      </c>
      <c r="L55" s="113">
        <f>J55^4/IF(K55=0,1,K55)</f>
        <v>6.7557817992097623E-114</v>
      </c>
    </row>
    <row r="56" spans="1:12">
      <c r="A56" s="93"/>
      <c r="B56" s="69"/>
      <c r="C56" s="60"/>
      <c r="D56" s="59"/>
      <c r="E56" s="97"/>
      <c r="F56" s="46"/>
      <c r="G56" s="106"/>
      <c r="H56" s="42"/>
      <c r="I56" s="72"/>
      <c r="J56" s="43"/>
      <c r="K56" s="64"/>
      <c r="L56" s="111"/>
    </row>
    <row r="57" spans="1:12">
      <c r="A57" s="94" t="s">
        <v>66</v>
      </c>
      <c r="B57" s="87">
        <v>430.52</v>
      </c>
      <c r="C57" s="65"/>
      <c r="D57" s="68" t="s">
        <v>27</v>
      </c>
      <c r="E57" s="97"/>
      <c r="F57" s="46"/>
      <c r="G57" s="106"/>
      <c r="H57" s="42"/>
      <c r="I57" s="72"/>
      <c r="J57" s="43"/>
      <c r="K57" s="64"/>
      <c r="L57" s="111"/>
    </row>
    <row r="58" spans="1:12">
      <c r="A58" s="91" t="s">
        <v>26</v>
      </c>
      <c r="B58" s="69">
        <v>0</v>
      </c>
      <c r="C58" s="89">
        <f>0.000143*(B60^0.802)</f>
        <v>1.8526726461750131E-2</v>
      </c>
      <c r="D58" s="63" t="s">
        <v>27</v>
      </c>
      <c r="E58" s="99" t="s">
        <v>24</v>
      </c>
      <c r="F58" s="71" t="s">
        <v>21</v>
      </c>
      <c r="G58" s="106">
        <v>1</v>
      </c>
      <c r="H58" s="57">
        <f>C58/G58</f>
        <v>1.8526726461750131E-2</v>
      </c>
      <c r="I58" s="119">
        <f>$B$133/(SUM($B$15,$B$25,$B$35,$B$45,$B$55,$B$65,$B$75,$B$85,$B$95,$B$105)-SUM($B$20,$B$30,$B$40,$B$50,$B$60,$B$70,$B$80,$B$90,$B$100,$B$110))</f>
        <v>1.75908659901148E-2</v>
      </c>
      <c r="J58" s="56">
        <f>ABS(I58*H58)</f>
        <v>3.259011624241603E-4</v>
      </c>
      <c r="K58" s="55">
        <v>8.9999999999999999E+99</v>
      </c>
      <c r="L58" s="112">
        <f>J58^4/IF(K58=0,1,K58)</f>
        <v>1.2534330118661726E-114</v>
      </c>
    </row>
    <row r="59" spans="1:12">
      <c r="A59" s="91" t="s">
        <v>25</v>
      </c>
      <c r="B59" s="69">
        <v>0</v>
      </c>
      <c r="C59" s="60">
        <v>0.01</v>
      </c>
      <c r="D59" s="63" t="s">
        <v>27</v>
      </c>
      <c r="E59" s="100" t="s">
        <v>24</v>
      </c>
      <c r="F59" s="62" t="s">
        <v>23</v>
      </c>
      <c r="G59" s="107">
        <f>SQRT(3)</f>
        <v>1.7320508075688772</v>
      </c>
      <c r="H59" s="57">
        <f>C59/G59</f>
        <v>5.773502691896258E-3</v>
      </c>
      <c r="I59" s="119">
        <f>$B$133/(SUM($B$15,$B$25,$B$35,$B$45,$B$55,$B$65,$B$75,$B$85,$B$95,$B$105)-SUM($B$20,$B$30,$B$40,$B$50,$B$60,$B$70,$B$80,$B$90,$B$100,$B$110))</f>
        <v>1.75908659901148E-2</v>
      </c>
      <c r="J59" s="56">
        <f>ABS(I59*H59)</f>
        <v>1.0156091214671413E-4</v>
      </c>
      <c r="K59" s="55">
        <v>8.9999999999999999E+99</v>
      </c>
      <c r="L59" s="112">
        <f>J59^4/IF(K59=0,1,K59)</f>
        <v>1.1821262506514766E-116</v>
      </c>
    </row>
    <row r="60" spans="1:12">
      <c r="A60" s="92" t="s">
        <v>66</v>
      </c>
      <c r="B60" s="88">
        <f>SUM(B57:B59)</f>
        <v>430.52</v>
      </c>
      <c r="C60" s="53"/>
      <c r="D60" s="52" t="s">
        <v>27</v>
      </c>
      <c r="E60" s="101"/>
      <c r="F60" s="61"/>
      <c r="G60" s="108"/>
      <c r="H60" s="49">
        <f>SQRT(SUMSQ(H58:H59))</f>
        <v>1.9405487026144072E-2</v>
      </c>
      <c r="I60" s="120">
        <f>$B$133/(SUM($B$15,$B$25,$B$35,$B$45,$B$55,$B$65,$B$75,$B$85,$B$95,$B$105)-SUM($B$20,$B$30,$B$40,$B$50,$B$60,$B$70,$B$80,$B$90,$B$100,$B$110))</f>
        <v>1.75908659901148E-2</v>
      </c>
      <c r="J60" s="50">
        <f>ABS(I60*H60)</f>
        <v>3.4135932174981175E-4</v>
      </c>
      <c r="K60" s="47">
        <f>H60^4/(H58^4/K58+H59^4/K59)</f>
        <v>1.0731718063206565E+100</v>
      </c>
      <c r="L60" s="113">
        <f>J60^4/IF(K60=0,1,K60)</f>
        <v>1.2652542743726875E-114</v>
      </c>
    </row>
    <row r="61" spans="1:12">
      <c r="A61" s="93"/>
      <c r="B61" s="129"/>
      <c r="C61" s="60"/>
      <c r="D61" s="95"/>
      <c r="E61" s="42"/>
      <c r="F61" s="46"/>
      <c r="G61" s="44"/>
      <c r="H61" s="42"/>
      <c r="I61" s="128"/>
      <c r="J61" s="102"/>
      <c r="K61" s="64"/>
      <c r="L61" s="111"/>
    </row>
    <row r="62" spans="1:12" s="18" customFormat="1">
      <c r="A62" s="94" t="s">
        <v>67</v>
      </c>
      <c r="B62" s="87">
        <v>809.53</v>
      </c>
      <c r="C62" s="65"/>
      <c r="D62" s="68" t="s">
        <v>27</v>
      </c>
      <c r="E62" s="97"/>
      <c r="F62" s="46"/>
      <c r="G62" s="106"/>
      <c r="H62" s="42"/>
      <c r="I62" s="72"/>
      <c r="J62" s="43"/>
      <c r="K62" s="64"/>
      <c r="L62" s="111"/>
    </row>
    <row r="63" spans="1:12">
      <c r="A63" s="91" t="s">
        <v>26</v>
      </c>
      <c r="B63" s="69">
        <v>0</v>
      </c>
      <c r="C63" s="89">
        <f>0.000143*(B65^0.802)</f>
        <v>3.0742477335211096E-2</v>
      </c>
      <c r="D63" s="63" t="s">
        <v>27</v>
      </c>
      <c r="E63" s="99" t="s">
        <v>24</v>
      </c>
      <c r="F63" s="71" t="s">
        <v>21</v>
      </c>
      <c r="G63" s="106">
        <v>1</v>
      </c>
      <c r="H63" s="115">
        <f>C63/G63</f>
        <v>3.0742477335211096E-2</v>
      </c>
      <c r="I63" s="119">
        <f>-$B$133/(SUM($B$15,$B$25,$B$35,$B$45,$B$55,$B$65,$B$75,$B$85,$B$95,$B$105)-SUM($B$20,$B$30,$B$40,$B$50,$B$60,$B$70,$B$80,$B$90,$B$100,$B$110))</f>
        <v>-1.75908659901148E-2</v>
      </c>
      <c r="J63" s="56">
        <f>ABS(I63*H63)</f>
        <v>5.4078679900783995E-4</v>
      </c>
      <c r="K63" s="55">
        <v>8.9999999999999999E+99</v>
      </c>
      <c r="L63" s="112">
        <f>J63^4/IF(K63=0,1,K63)</f>
        <v>9.5030238025448067E-114</v>
      </c>
    </row>
    <row r="64" spans="1:12">
      <c r="A64" s="91" t="s">
        <v>25</v>
      </c>
      <c r="B64" s="69">
        <v>0</v>
      </c>
      <c r="C64" s="60">
        <v>0.01</v>
      </c>
      <c r="D64" s="63" t="s">
        <v>27</v>
      </c>
      <c r="E64" s="100" t="s">
        <v>24</v>
      </c>
      <c r="F64" s="62" t="s">
        <v>23</v>
      </c>
      <c r="G64" s="107">
        <f>SQRT(3)</f>
        <v>1.7320508075688772</v>
      </c>
      <c r="H64" s="57">
        <f>C64/G64</f>
        <v>5.773502691896258E-3</v>
      </c>
      <c r="I64" s="119">
        <f>-$B$133/(SUM($B$15,$B$25,$B$35,$B$45,$B$55,$B$65,$B$75,$B$85,$B$95,$B$105)-SUM($B$20,$B$30,$B$40,$B$50,$B$60,$B$70,$B$80,$B$90,$B$100,$B$110))</f>
        <v>-1.75908659901148E-2</v>
      </c>
      <c r="J64" s="56">
        <f>ABS(I64*H64)</f>
        <v>1.0156091214671413E-4</v>
      </c>
      <c r="K64" s="55">
        <v>8.9999999999999999E+99</v>
      </c>
      <c r="L64" s="112">
        <f>J64^4/IF(K64=0,1,K64)</f>
        <v>1.1821262506514766E-116</v>
      </c>
    </row>
    <row r="65" spans="1:12">
      <c r="A65" s="92" t="s">
        <v>67</v>
      </c>
      <c r="B65" s="88">
        <f>SUM(B62:B64)</f>
        <v>809.53</v>
      </c>
      <c r="C65" s="53"/>
      <c r="D65" s="52" t="s">
        <v>27</v>
      </c>
      <c r="E65" s="101"/>
      <c r="F65" s="61"/>
      <c r="G65" s="108"/>
      <c r="H65" s="49">
        <f>SQRT(SUMSQ(H63:H64))</f>
        <v>3.1279917615609241E-2</v>
      </c>
      <c r="I65" s="120">
        <f>-$B$133/(SUM($B$15,$B$25,$B$35,$B$45,$B$55,$B$65,$B$75,$B$85,$B$95,$B$105)-SUM($B$20,$B$30,$B$40,$B$50,$B$60,$B$70,$B$80,$B$90,$B$100,$B$110))</f>
        <v>-1.75908659901148E-2</v>
      </c>
      <c r="J65" s="50">
        <f>ABS(I65*H65)</f>
        <v>5.5024083895801343E-4</v>
      </c>
      <c r="K65" s="47">
        <f>H65^4/(H63^4/K63+H64^4/K64)</f>
        <v>9.6340647700265445E+99</v>
      </c>
      <c r="L65" s="113">
        <f>J65^4/IF(K65=0,1,K65)</f>
        <v>9.5148450650513214E-114</v>
      </c>
    </row>
    <row r="66" spans="1:12">
      <c r="A66" s="93"/>
      <c r="B66" s="69"/>
      <c r="C66" s="60"/>
      <c r="D66" s="59"/>
      <c r="E66" s="97"/>
      <c r="F66" s="46"/>
      <c r="G66" s="106"/>
      <c r="H66" s="42"/>
      <c r="I66" s="72"/>
      <c r="J66" s="43"/>
      <c r="K66" s="64"/>
      <c r="L66" s="111"/>
    </row>
    <row r="67" spans="1:12">
      <c r="A67" s="94" t="s">
        <v>68</v>
      </c>
      <c r="B67" s="87">
        <v>428.43</v>
      </c>
      <c r="C67" s="65"/>
      <c r="D67" s="68" t="s">
        <v>27</v>
      </c>
      <c r="E67" s="97"/>
      <c r="F67" s="46"/>
      <c r="G67" s="106"/>
      <c r="H67" s="42"/>
      <c r="I67" s="72"/>
      <c r="J67" s="43"/>
      <c r="K67" s="64"/>
      <c r="L67" s="111"/>
    </row>
    <row r="68" spans="1:12">
      <c r="A68" s="91" t="s">
        <v>26</v>
      </c>
      <c r="B68" s="69">
        <v>0</v>
      </c>
      <c r="C68" s="89">
        <f>0.000143*(B70^0.802)</f>
        <v>1.8454560053369692E-2</v>
      </c>
      <c r="D68" s="63" t="s">
        <v>27</v>
      </c>
      <c r="E68" s="99" t="s">
        <v>24</v>
      </c>
      <c r="F68" s="71" t="s">
        <v>21</v>
      </c>
      <c r="G68" s="106">
        <v>1</v>
      </c>
      <c r="H68" s="57">
        <f>C68/G68</f>
        <v>1.8454560053369692E-2</v>
      </c>
      <c r="I68" s="119">
        <f>$B$133/(SUM($B$15,$B$25,$B$35,$B$45,$B$55,$B$65,$B$75,$B$85,$B$95,$B$105)-SUM($B$20,$B$30,$B$40,$B$50,$B$60,$B$70,$B$80,$B$90,$B$100,$B$110))</f>
        <v>1.75908659901148E-2</v>
      </c>
      <c r="J68" s="56">
        <f>ABS(I68*H68)</f>
        <v>3.2463169280535207E-4</v>
      </c>
      <c r="K68" s="55">
        <v>8.9999999999999999E+99</v>
      </c>
      <c r="L68" s="112">
        <f>J68^4/IF(K68=0,1,K68)</f>
        <v>1.2340170385235294E-114</v>
      </c>
    </row>
    <row r="69" spans="1:12">
      <c r="A69" s="91" t="s">
        <v>25</v>
      </c>
      <c r="B69" s="69">
        <v>0</v>
      </c>
      <c r="C69" s="60">
        <v>0.01</v>
      </c>
      <c r="D69" s="63" t="s">
        <v>27</v>
      </c>
      <c r="E69" s="100" t="s">
        <v>24</v>
      </c>
      <c r="F69" s="62" t="s">
        <v>23</v>
      </c>
      <c r="G69" s="107">
        <f>SQRT(3)</f>
        <v>1.7320508075688772</v>
      </c>
      <c r="H69" s="57">
        <f>C69/G69</f>
        <v>5.773502691896258E-3</v>
      </c>
      <c r="I69" s="119">
        <f>$B$133/(SUM($B$15,$B$25,$B$35,$B$45,$B$55,$B$65,$B$75,$B$85,$B$95,$B$105)-SUM($B$20,$B$30,$B$40,$B$50,$B$60,$B$70,$B$80,$B$90,$B$100,$B$110))</f>
        <v>1.75908659901148E-2</v>
      </c>
      <c r="J69" s="56">
        <f>ABS(I69*H69)</f>
        <v>1.0156091214671413E-4</v>
      </c>
      <c r="K69" s="55">
        <v>8.9999999999999999E+99</v>
      </c>
      <c r="L69" s="112">
        <f>J69^4/IF(K69=0,1,K69)</f>
        <v>1.1821262506514766E-116</v>
      </c>
    </row>
    <row r="70" spans="1:12">
      <c r="A70" s="92" t="s">
        <v>68</v>
      </c>
      <c r="B70" s="88">
        <f>SUM(B67:B69)</f>
        <v>428.43</v>
      </c>
      <c r="C70" s="53"/>
      <c r="D70" s="52" t="s">
        <v>27</v>
      </c>
      <c r="E70" s="101"/>
      <c r="F70" s="61"/>
      <c r="G70" s="108"/>
      <c r="H70" s="49">
        <f>SQRT(SUMSQ(H68:H69))</f>
        <v>1.9336600531033414E-2</v>
      </c>
      <c r="I70" s="120">
        <f>$B$133/(SUM($B$15,$B$25,$B$35,$B$45,$B$55,$B$65,$B$75,$B$85,$B$95,$B$105)-SUM($B$20,$B$30,$B$40,$B$50,$B$60,$B$70,$B$80,$B$90,$B$100,$B$110))</f>
        <v>1.75908659901148E-2</v>
      </c>
      <c r="J70" s="50">
        <f>ABS(I70*H70)</f>
        <v>3.4014754864579146E-4</v>
      </c>
      <c r="K70" s="47">
        <f>H70^4/(H68^4/K68+H69^4/K69)</f>
        <v>1.0745031759970893E+100</v>
      </c>
      <c r="L70" s="113">
        <f>J70^4/IF(K70=0,1,K70)</f>
        <v>1.2458383010300441E-114</v>
      </c>
    </row>
    <row r="71" spans="1:12">
      <c r="A71" s="93"/>
      <c r="B71" s="69"/>
      <c r="C71" s="60"/>
      <c r="D71" s="95"/>
      <c r="E71" s="42"/>
      <c r="F71" s="46"/>
      <c r="G71" s="44"/>
      <c r="H71" s="42"/>
      <c r="I71" s="128"/>
      <c r="J71" s="102"/>
      <c r="K71" s="64"/>
      <c r="L71" s="111"/>
    </row>
    <row r="72" spans="1:12" s="18" customFormat="1">
      <c r="A72" s="94" t="s">
        <v>69</v>
      </c>
      <c r="B72" s="87">
        <v>797.79</v>
      </c>
      <c r="C72" s="65"/>
      <c r="D72" s="68" t="s">
        <v>27</v>
      </c>
      <c r="E72" s="97"/>
      <c r="F72" s="46"/>
      <c r="G72" s="106"/>
      <c r="H72" s="42"/>
      <c r="I72" s="72"/>
      <c r="J72" s="43"/>
      <c r="K72" s="64"/>
      <c r="L72" s="111"/>
    </row>
    <row r="73" spans="1:12">
      <c r="A73" s="91" t="s">
        <v>26</v>
      </c>
      <c r="B73" s="69">
        <v>0</v>
      </c>
      <c r="C73" s="89">
        <f>0.000143*(B75^0.802)</f>
        <v>3.0384401434724564E-2</v>
      </c>
      <c r="D73" s="63" t="s">
        <v>27</v>
      </c>
      <c r="E73" s="99" t="s">
        <v>24</v>
      </c>
      <c r="F73" s="71" t="s">
        <v>21</v>
      </c>
      <c r="G73" s="106">
        <v>1</v>
      </c>
      <c r="H73" s="115">
        <f>C73/G73</f>
        <v>3.0384401434724564E-2</v>
      </c>
      <c r="I73" s="119">
        <f>-$B$133/(SUM($B$15,$B$25,$B$35,$B$45,$B$55,$B$65,$B$75,$B$85,$B$95,$B$105)-SUM($B$20,$B$30,$B$40,$B$50,$B$60,$B$70,$B$80,$B$90,$B$100,$B$110))</f>
        <v>-1.75908659901148E-2</v>
      </c>
      <c r="J73" s="56">
        <f>ABS(I73*H73)</f>
        <v>5.3448793382809162E-4</v>
      </c>
      <c r="K73" s="55">
        <v>8.9999999999999999E+99</v>
      </c>
      <c r="L73" s="112">
        <f>J73^4/IF(K73=0,1,K73)</f>
        <v>9.0679499008209425E-114</v>
      </c>
    </row>
    <row r="74" spans="1:12">
      <c r="A74" s="91" t="s">
        <v>25</v>
      </c>
      <c r="B74" s="69">
        <v>0</v>
      </c>
      <c r="C74" s="60">
        <v>0.01</v>
      </c>
      <c r="D74" s="63" t="s">
        <v>27</v>
      </c>
      <c r="E74" s="100" t="s">
        <v>24</v>
      </c>
      <c r="F74" s="62" t="s">
        <v>23</v>
      </c>
      <c r="G74" s="107">
        <f>SQRT(3)</f>
        <v>1.7320508075688772</v>
      </c>
      <c r="H74" s="57">
        <f>C74/G74</f>
        <v>5.773502691896258E-3</v>
      </c>
      <c r="I74" s="119">
        <f>-$B$133/(SUM($B$15,$B$25,$B$35,$B$45,$B$55,$B$65,$B$75,$B$85,$B$95,$B$105)-SUM($B$20,$B$30,$B$40,$B$50,$B$60,$B$70,$B$80,$B$90,$B$100,$B$110))</f>
        <v>-1.75908659901148E-2</v>
      </c>
      <c r="J74" s="56">
        <f>ABS(I74*H74)</f>
        <v>1.0156091214671413E-4</v>
      </c>
      <c r="K74" s="55">
        <v>8.9999999999999999E+99</v>
      </c>
      <c r="L74" s="112">
        <f>J74^4/IF(K74=0,1,K74)</f>
        <v>1.1821262506514766E-116</v>
      </c>
    </row>
    <row r="75" spans="1:12">
      <c r="A75" s="92" t="s">
        <v>69</v>
      </c>
      <c r="B75" s="88">
        <f>SUM(B72:B74)</f>
        <v>797.79</v>
      </c>
      <c r="C75" s="53"/>
      <c r="D75" s="52" t="s">
        <v>27</v>
      </c>
      <c r="E75" s="101"/>
      <c r="F75" s="61"/>
      <c r="G75" s="108"/>
      <c r="H75" s="49">
        <f>SQRT(SUMSQ(H73:H74))</f>
        <v>3.0928064664311368E-2</v>
      </c>
      <c r="I75" s="120">
        <f>-$B$133/(SUM($B$15,$B$25,$B$35,$B$45,$B$55,$B$65,$B$75,$B$85,$B$95,$B$105)-SUM($B$20,$B$30,$B$40,$B$50,$B$60,$B$70,$B$80,$B$90,$B$100,$B$110))</f>
        <v>-1.75908659901148E-2</v>
      </c>
      <c r="J75" s="50">
        <f>ABS(I75*H75)</f>
        <v>5.4405144084350616E-4</v>
      </c>
      <c r="K75" s="47">
        <f>H75^4/(H73^4/K73+H74^4/K74)</f>
        <v>9.6490588690602392E+99</v>
      </c>
      <c r="L75" s="113">
        <f>J75^4/IF(K75=0,1,K75)</f>
        <v>9.0797711633274615E-114</v>
      </c>
    </row>
    <row r="76" spans="1:12">
      <c r="A76" s="93"/>
      <c r="B76" s="69"/>
      <c r="C76" s="60"/>
      <c r="D76" s="59"/>
      <c r="E76" s="97"/>
      <c r="F76" s="46"/>
      <c r="G76" s="106"/>
      <c r="H76" s="42"/>
      <c r="I76" s="72"/>
      <c r="J76" s="43"/>
      <c r="K76" s="64"/>
      <c r="L76" s="111"/>
    </row>
    <row r="77" spans="1:12">
      <c r="A77" s="94" t="s">
        <v>70</v>
      </c>
      <c r="B77" s="87">
        <v>441.06</v>
      </c>
      <c r="C77" s="65"/>
      <c r="D77" s="68" t="s">
        <v>27</v>
      </c>
      <c r="E77" s="97"/>
      <c r="F77" s="46"/>
      <c r="G77" s="106"/>
      <c r="H77" s="42"/>
      <c r="I77" s="72"/>
      <c r="J77" s="43"/>
      <c r="K77" s="64"/>
      <c r="L77" s="111"/>
    </row>
    <row r="78" spans="1:12">
      <c r="A78" s="91" t="s">
        <v>26</v>
      </c>
      <c r="B78" s="69">
        <v>0</v>
      </c>
      <c r="C78" s="89">
        <f>0.000143*(B80^0.802)</f>
        <v>1.8889617823215056E-2</v>
      </c>
      <c r="D78" s="63" t="s">
        <v>27</v>
      </c>
      <c r="E78" s="99" t="s">
        <v>24</v>
      </c>
      <c r="F78" s="71" t="s">
        <v>21</v>
      </c>
      <c r="G78" s="106">
        <v>1</v>
      </c>
      <c r="H78" s="57">
        <f>C78/G78</f>
        <v>1.8889617823215056E-2</v>
      </c>
      <c r="I78" s="119">
        <f>$B$133/(SUM($B$15,$B$25,$B$35,$B$45,$B$55,$B$65,$B$75,$B$85,$B$95,$B$105)-SUM($B$20,$B$30,$B$40,$B$50,$B$60,$B$70,$B$80,$B$90,$B$100,$B$110))</f>
        <v>1.75908659901148E-2</v>
      </c>
      <c r="J78" s="56">
        <f>ABS(I78*H78)</f>
        <v>3.3228473573266009E-4</v>
      </c>
      <c r="K78" s="55">
        <v>8.9999999999999999E+99</v>
      </c>
      <c r="L78" s="112">
        <f>J78^4/IF(K78=0,1,K78)</f>
        <v>1.3545625246100878E-114</v>
      </c>
    </row>
    <row r="79" spans="1:12">
      <c r="A79" s="91" t="s">
        <v>25</v>
      </c>
      <c r="B79" s="69">
        <v>0</v>
      </c>
      <c r="C79" s="60">
        <v>0.01</v>
      </c>
      <c r="D79" s="63" t="s">
        <v>27</v>
      </c>
      <c r="E79" s="100" t="s">
        <v>24</v>
      </c>
      <c r="F79" s="62" t="s">
        <v>23</v>
      </c>
      <c r="G79" s="107">
        <f>SQRT(3)</f>
        <v>1.7320508075688772</v>
      </c>
      <c r="H79" s="57">
        <f>C79/G79</f>
        <v>5.773502691896258E-3</v>
      </c>
      <c r="I79" s="119">
        <f>$B$133/(SUM($B$15,$B$25,$B$35,$B$45,$B$55,$B$65,$B$75,$B$85,$B$95,$B$105)-SUM($B$20,$B$30,$B$40,$B$50,$B$60,$B$70,$B$80,$B$90,$B$100,$B$110))</f>
        <v>1.75908659901148E-2</v>
      </c>
      <c r="J79" s="56">
        <f>ABS(I79*H79)</f>
        <v>1.0156091214671413E-4</v>
      </c>
      <c r="K79" s="55">
        <v>8.9999999999999999E+99</v>
      </c>
      <c r="L79" s="112">
        <f>J79^4/IF(K79=0,1,K79)</f>
        <v>1.1821262506514766E-116</v>
      </c>
    </row>
    <row r="80" spans="1:12">
      <c r="A80" s="92" t="s">
        <v>70</v>
      </c>
      <c r="B80" s="88">
        <f>SUM(B77:B79)</f>
        <v>441.06</v>
      </c>
      <c r="C80" s="53"/>
      <c r="D80" s="52" t="s">
        <v>27</v>
      </c>
      <c r="E80" s="101"/>
      <c r="F80" s="61"/>
      <c r="G80" s="108"/>
      <c r="H80" s="49">
        <f>SQRT(SUMSQ(H78:H79))</f>
        <v>1.9752240248651728E-2</v>
      </c>
      <c r="I80" s="120">
        <f>$B$133/(SUM($B$15,$B$25,$B$35,$B$45,$B$55,$B$65,$B$75,$B$85,$B$95,$B$105)-SUM($B$20,$B$30,$B$40,$B$50,$B$60,$B$70,$B$80,$B$90,$B$100,$B$110))</f>
        <v>1.75908659901148E-2</v>
      </c>
      <c r="J80" s="50">
        <f>ABS(I80*H80)</f>
        <v>3.4745901121858438E-4</v>
      </c>
      <c r="K80" s="47">
        <f>H80^4/(H78^4/K78+H79^4/K79)</f>
        <v>1.0666983356389389E+100</v>
      </c>
      <c r="L80" s="113">
        <f>J80^4/IF(K80=0,1,K80)</f>
        <v>1.3663837871166024E-114</v>
      </c>
    </row>
    <row r="81" spans="1:12">
      <c r="A81" s="93"/>
      <c r="B81" s="69"/>
      <c r="C81" s="60"/>
      <c r="D81" s="95"/>
      <c r="E81" s="42"/>
      <c r="F81" s="46"/>
      <c r="G81" s="44"/>
      <c r="H81" s="42"/>
      <c r="I81" s="128"/>
      <c r="J81" s="102"/>
      <c r="K81" s="64"/>
      <c r="L81" s="111"/>
    </row>
    <row r="82" spans="1:12" s="18" customFormat="1">
      <c r="A82" s="94" t="s">
        <v>71</v>
      </c>
      <c r="B82" s="87">
        <v>790.78</v>
      </c>
      <c r="C82" s="65"/>
      <c r="D82" s="68" t="s">
        <v>27</v>
      </c>
      <c r="E82" s="97"/>
      <c r="F82" s="46"/>
      <c r="G82" s="106"/>
      <c r="H82" s="42"/>
      <c r="I82" s="72"/>
      <c r="J82" s="43"/>
      <c r="K82" s="64"/>
      <c r="L82" s="111"/>
    </row>
    <row r="83" spans="1:12">
      <c r="A83" s="91" t="s">
        <v>26</v>
      </c>
      <c r="B83" s="69">
        <v>0</v>
      </c>
      <c r="C83" s="89">
        <f>0.000143*(B85^0.802)</f>
        <v>3.0170095874758721E-2</v>
      </c>
      <c r="D83" s="63" t="s">
        <v>27</v>
      </c>
      <c r="E83" s="99" t="s">
        <v>24</v>
      </c>
      <c r="F83" s="71" t="s">
        <v>21</v>
      </c>
      <c r="G83" s="106">
        <v>1</v>
      </c>
      <c r="H83" s="115">
        <f>C83/G83</f>
        <v>3.0170095874758721E-2</v>
      </c>
      <c r="I83" s="119">
        <f>-$B$133/(SUM($B$15,$B$25,$B$35,$B$45,$B$55,$B$65,$B$75,$B$85,$B$95,$B$105)-SUM($B$20,$B$30,$B$40,$B$50,$B$60,$B$70,$B$80,$B$90,$B$100,$B$110))</f>
        <v>-1.75908659901148E-2</v>
      </c>
      <c r="J83" s="56">
        <f>ABS(I83*H83)</f>
        <v>5.3071811344179601E-4</v>
      </c>
      <c r="K83" s="55">
        <v>8.9999999999999999E+99</v>
      </c>
      <c r="L83" s="112">
        <f>J83^4/IF(K83=0,1,K83)</f>
        <v>8.8148135803968922E-114</v>
      </c>
    </row>
    <row r="84" spans="1:12">
      <c r="A84" s="91" t="s">
        <v>25</v>
      </c>
      <c r="B84" s="69">
        <v>0</v>
      </c>
      <c r="C84" s="60">
        <v>0.01</v>
      </c>
      <c r="D84" s="63" t="s">
        <v>27</v>
      </c>
      <c r="E84" s="100" t="s">
        <v>24</v>
      </c>
      <c r="F84" s="62" t="s">
        <v>23</v>
      </c>
      <c r="G84" s="107">
        <f>SQRT(3)</f>
        <v>1.7320508075688772</v>
      </c>
      <c r="H84" s="57">
        <f>C84/G84</f>
        <v>5.773502691896258E-3</v>
      </c>
      <c r="I84" s="119">
        <f>-$B$133/(SUM($B$15,$B$25,$B$35,$B$45,$B$55,$B$65,$B$75,$B$85,$B$95,$B$105)-SUM($B$20,$B$30,$B$40,$B$50,$B$60,$B$70,$B$80,$B$90,$B$100,$B$110))</f>
        <v>-1.75908659901148E-2</v>
      </c>
      <c r="J84" s="56">
        <f>ABS(I84*H84)</f>
        <v>1.0156091214671413E-4</v>
      </c>
      <c r="K84" s="55">
        <v>8.9999999999999999E+99</v>
      </c>
      <c r="L84" s="112">
        <f>J84^4/IF(K84=0,1,K84)</f>
        <v>1.1821262506514766E-116</v>
      </c>
    </row>
    <row r="85" spans="1:12">
      <c r="A85" s="92" t="s">
        <v>71</v>
      </c>
      <c r="B85" s="88">
        <f>SUM(B82:B84)</f>
        <v>790.78</v>
      </c>
      <c r="C85" s="53"/>
      <c r="D85" s="52" t="s">
        <v>27</v>
      </c>
      <c r="E85" s="101"/>
      <c r="F85" s="61"/>
      <c r="G85" s="108"/>
      <c r="H85" s="49">
        <f>SQRT(SUMSQ(H83:H84))</f>
        <v>3.0717552285712262E-2</v>
      </c>
      <c r="I85" s="120">
        <f>-$B$133/(SUM($B$15,$B$25,$B$35,$B$45,$B$55,$B$65,$B$75,$B$85,$B$95,$B$105)-SUM($B$20,$B$30,$B$40,$B$50,$B$60,$B$70,$B$80,$B$90,$B$100,$B$110))</f>
        <v>-1.75908659901148E-2</v>
      </c>
      <c r="J85" s="50">
        <f>ABS(I85*H85)</f>
        <v>5.4034834580230894E-4</v>
      </c>
      <c r="K85" s="47">
        <f>H85^4/(H83^4/K83+H84^4/K84)</f>
        <v>9.6582878534254087E+99</v>
      </c>
      <c r="L85" s="113">
        <f>J85^4/IF(K85=0,1,K85)</f>
        <v>8.8266348429034084E-114</v>
      </c>
    </row>
    <row r="86" spans="1:12">
      <c r="A86" s="93"/>
      <c r="B86" s="69"/>
      <c r="C86" s="60"/>
      <c r="D86" s="59"/>
      <c r="E86" s="97"/>
      <c r="F86" s="46"/>
      <c r="G86" s="106"/>
      <c r="H86" s="42"/>
      <c r="I86" s="72"/>
      <c r="J86" s="43"/>
      <c r="K86" s="64"/>
      <c r="L86" s="111"/>
    </row>
    <row r="87" spans="1:12">
      <c r="A87" s="94" t="s">
        <v>72</v>
      </c>
      <c r="B87" s="87">
        <v>424.19</v>
      </c>
      <c r="C87" s="65"/>
      <c r="D87" s="68" t="s">
        <v>27</v>
      </c>
      <c r="E87" s="97"/>
      <c r="F87" s="46"/>
      <c r="G87" s="106"/>
      <c r="H87" s="42"/>
      <c r="I87" s="72"/>
      <c r="J87" s="43"/>
      <c r="K87" s="64"/>
      <c r="L87" s="111"/>
    </row>
    <row r="88" spans="1:12">
      <c r="A88" s="91" t="s">
        <v>26</v>
      </c>
      <c r="B88" s="69">
        <v>0</v>
      </c>
      <c r="C88" s="89">
        <f>0.000143*(B90^0.802)</f>
        <v>1.830794078975212E-2</v>
      </c>
      <c r="D88" s="63" t="s">
        <v>27</v>
      </c>
      <c r="E88" s="99" t="s">
        <v>24</v>
      </c>
      <c r="F88" s="71" t="s">
        <v>21</v>
      </c>
      <c r="G88" s="106">
        <v>1</v>
      </c>
      <c r="H88" s="57">
        <f>C88/G88</f>
        <v>1.830794078975212E-2</v>
      </c>
      <c r="I88" s="119">
        <f>$B$133/(SUM($B$15,$B$25,$B$35,$B$45,$B$55,$B$65,$B$75,$B$85,$B$95,$B$105)-SUM($B$20,$B$30,$B$40,$B$50,$B$60,$B$70,$B$80,$B$90,$B$100,$B$110))</f>
        <v>1.75908659901148E-2</v>
      </c>
      <c r="J88" s="56">
        <f>ABS(I88*H88)</f>
        <v>3.2205253298748604E-4</v>
      </c>
      <c r="K88" s="55">
        <v>8.9999999999999999E+99</v>
      </c>
      <c r="L88" s="112">
        <f>J88^4/IF(K88=0,1,K88)</f>
        <v>1.1952654544899886E-114</v>
      </c>
    </row>
    <row r="89" spans="1:12">
      <c r="A89" s="91" t="s">
        <v>25</v>
      </c>
      <c r="B89" s="69">
        <v>0</v>
      </c>
      <c r="C89" s="60">
        <v>0.01</v>
      </c>
      <c r="D89" s="63" t="s">
        <v>27</v>
      </c>
      <c r="E89" s="100" t="s">
        <v>24</v>
      </c>
      <c r="F89" s="62" t="s">
        <v>23</v>
      </c>
      <c r="G89" s="107">
        <f>SQRT(3)</f>
        <v>1.7320508075688772</v>
      </c>
      <c r="H89" s="57">
        <f>C89/G89</f>
        <v>5.773502691896258E-3</v>
      </c>
      <c r="I89" s="119">
        <f>$B$133/(SUM($B$15,$B$25,$B$35,$B$45,$B$55,$B$65,$B$75,$B$85,$B$95,$B$105)-SUM($B$20,$B$30,$B$40,$B$50,$B$60,$B$70,$B$80,$B$90,$B$100,$B$110))</f>
        <v>1.75908659901148E-2</v>
      </c>
      <c r="J89" s="56">
        <f>ABS(I89*H89)</f>
        <v>1.0156091214671413E-4</v>
      </c>
      <c r="K89" s="55">
        <v>8.9999999999999999E+99</v>
      </c>
      <c r="L89" s="112">
        <f>J89^4/IF(K89=0,1,K89)</f>
        <v>1.1821262506514766E-116</v>
      </c>
    </row>
    <row r="90" spans="1:12">
      <c r="A90" s="92" t="s">
        <v>72</v>
      </c>
      <c r="B90" s="88">
        <f>SUM(B87:B89)</f>
        <v>424.19</v>
      </c>
      <c r="C90" s="53"/>
      <c r="D90" s="52" t="s">
        <v>27</v>
      </c>
      <c r="E90" s="101"/>
      <c r="F90" s="61"/>
      <c r="G90" s="108"/>
      <c r="H90" s="49">
        <f>SQRT(SUMSQ(H88:H89))</f>
        <v>1.9196719232577288E-2</v>
      </c>
      <c r="I90" s="120">
        <f>$B$133/(SUM($B$15,$B$25,$B$35,$B$45,$B$55,$B$65,$B$75,$B$85,$B$95,$B$105)-SUM($B$20,$B$30,$B$40,$B$50,$B$60,$B$70,$B$80,$B$90,$B$100,$B$110))</f>
        <v>1.75908659901148E-2</v>
      </c>
      <c r="J90" s="50">
        <f>ABS(I90*H90)</f>
        <v>3.3768691547012648E-4</v>
      </c>
      <c r="K90" s="47">
        <f>H90^4/(H88^4/K88+H89^4/K89)</f>
        <v>1.0772548588822833E+100</v>
      </c>
      <c r="L90" s="113">
        <f>J90^4/IF(K90=0,1,K90)</f>
        <v>1.207086716996503E-114</v>
      </c>
    </row>
    <row r="91" spans="1:12">
      <c r="A91" s="93"/>
      <c r="B91" s="69"/>
      <c r="C91" s="60"/>
      <c r="D91" s="95"/>
      <c r="E91" s="42"/>
      <c r="F91" s="46"/>
      <c r="G91" s="44"/>
      <c r="H91" s="42"/>
      <c r="I91" s="128"/>
      <c r="J91" s="102"/>
      <c r="K91" s="64"/>
      <c r="L91" s="111"/>
    </row>
    <row r="92" spans="1:12" s="18" customFormat="1">
      <c r="A92" s="94" t="s">
        <v>73</v>
      </c>
      <c r="B92" s="87">
        <v>827.48</v>
      </c>
      <c r="C92" s="65"/>
      <c r="D92" s="68" t="s">
        <v>27</v>
      </c>
      <c r="E92" s="97"/>
      <c r="F92" s="46"/>
      <c r="G92" s="106"/>
      <c r="H92" s="42"/>
      <c r="I92" s="72"/>
      <c r="J92" s="43"/>
      <c r="K92" s="64"/>
      <c r="L92" s="111"/>
    </row>
    <row r="93" spans="1:12">
      <c r="A93" s="91" t="s">
        <v>26</v>
      </c>
      <c r="B93" s="69">
        <v>0</v>
      </c>
      <c r="C93" s="89">
        <f>0.000143*(B95^0.802)</f>
        <v>3.1287982288493547E-2</v>
      </c>
      <c r="D93" s="63" t="s">
        <v>27</v>
      </c>
      <c r="E93" s="99" t="s">
        <v>24</v>
      </c>
      <c r="F93" s="71" t="s">
        <v>21</v>
      </c>
      <c r="G93" s="106">
        <v>1</v>
      </c>
      <c r="H93" s="115">
        <f>C93/G93</f>
        <v>3.1287982288493547E-2</v>
      </c>
      <c r="I93" s="119">
        <f>-$B$133/(SUM($B$15,$B$25,$B$35,$B$45,$B$55,$B$65,$B$75,$B$85,$B$95,$B$105)-SUM($B$20,$B$30,$B$40,$B$50,$B$60,$B$70,$B$80,$B$90,$B$100,$B$110))</f>
        <v>-1.75908659901148E-2</v>
      </c>
      <c r="J93" s="56">
        <f>ABS(I93*H93)</f>
        <v>5.5038270353797536E-4</v>
      </c>
      <c r="K93" s="55">
        <v>8.9999999999999999E+99</v>
      </c>
      <c r="L93" s="112">
        <f>J93^4/IF(K93=0,1,K93)</f>
        <v>1.0195689461820416E-113</v>
      </c>
    </row>
    <row r="94" spans="1:12">
      <c r="A94" s="91" t="s">
        <v>25</v>
      </c>
      <c r="B94" s="69">
        <v>0</v>
      </c>
      <c r="C94" s="60">
        <v>0.01</v>
      </c>
      <c r="D94" s="63" t="s">
        <v>27</v>
      </c>
      <c r="E94" s="100" t="s">
        <v>24</v>
      </c>
      <c r="F94" s="62" t="s">
        <v>23</v>
      </c>
      <c r="G94" s="107">
        <f>SQRT(3)</f>
        <v>1.7320508075688772</v>
      </c>
      <c r="H94" s="57">
        <f>C94/G94</f>
        <v>5.773502691896258E-3</v>
      </c>
      <c r="I94" s="119">
        <f>-$B$133/(SUM($B$15,$B$25,$B$35,$B$45,$B$55,$B$65,$B$75,$B$85,$B$95,$B$105)-SUM($B$20,$B$30,$B$40,$B$50,$B$60,$B$70,$B$80,$B$90,$B$100,$B$110))</f>
        <v>-1.75908659901148E-2</v>
      </c>
      <c r="J94" s="56">
        <f>ABS(I94*H94)</f>
        <v>1.0156091214671413E-4</v>
      </c>
      <c r="K94" s="55">
        <v>8.9999999999999999E+99</v>
      </c>
      <c r="L94" s="112">
        <f>J94^4/IF(K94=0,1,K94)</f>
        <v>1.1821262506514766E-116</v>
      </c>
    </row>
    <row r="95" spans="1:12">
      <c r="A95" s="92" t="s">
        <v>73</v>
      </c>
      <c r="B95" s="88">
        <f>SUM(B92:B94)</f>
        <v>827.48</v>
      </c>
      <c r="C95" s="53"/>
      <c r="D95" s="52" t="s">
        <v>27</v>
      </c>
      <c r="E95" s="101"/>
      <c r="F95" s="61"/>
      <c r="G95" s="108"/>
      <c r="H95" s="49">
        <f>SQRT(SUMSQ(H93:H94))</f>
        <v>3.18162092182337E-2</v>
      </c>
      <c r="I95" s="120">
        <f>-$B$133/(SUM($B$15,$B$25,$B$35,$B$45,$B$55,$B$65,$B$75,$B$85,$B$95,$B$105)-SUM($B$20,$B$30,$B$40,$B$50,$B$60,$B$70,$B$80,$B$90,$B$100,$B$110))</f>
        <v>-1.75908659901148E-2</v>
      </c>
      <c r="J95" s="50">
        <f>ABS(I95*H95)</f>
        <v>5.5967467267140417E-4</v>
      </c>
      <c r="K95" s="47">
        <f>H95^4/(H93^4/K93+H94^4/K94)</f>
        <v>9.6121993873620095E+99</v>
      </c>
      <c r="L95" s="113">
        <f>J95^4/IF(K95=0,1,K95)</f>
        <v>1.0207510724326931E-113</v>
      </c>
    </row>
    <row r="96" spans="1:12">
      <c r="A96" s="93"/>
      <c r="B96" s="69"/>
      <c r="C96" s="60"/>
      <c r="D96" s="59"/>
      <c r="E96" s="97"/>
      <c r="F96" s="46"/>
      <c r="G96" s="106"/>
      <c r="H96" s="42"/>
      <c r="I96" s="72"/>
      <c r="J96" s="43"/>
      <c r="K96" s="64"/>
      <c r="L96" s="111"/>
    </row>
    <row r="97" spans="1:12">
      <c r="A97" s="94" t="s">
        <v>74</v>
      </c>
      <c r="B97" s="87">
        <v>414.61</v>
      </c>
      <c r="C97" s="65"/>
      <c r="D97" s="68" t="s">
        <v>27</v>
      </c>
      <c r="E97" s="97"/>
      <c r="F97" s="46"/>
      <c r="G97" s="106"/>
      <c r="H97" s="42"/>
      <c r="I97" s="72"/>
      <c r="J97" s="43"/>
      <c r="K97" s="64"/>
      <c r="L97" s="111"/>
    </row>
    <row r="98" spans="1:12">
      <c r="A98" s="91" t="s">
        <v>26</v>
      </c>
      <c r="B98" s="69">
        <v>0</v>
      </c>
      <c r="C98" s="89">
        <f>0.000143*(B100^0.802)</f>
        <v>1.7975589226287253E-2</v>
      </c>
      <c r="D98" s="63" t="s">
        <v>27</v>
      </c>
      <c r="E98" s="99" t="s">
        <v>24</v>
      </c>
      <c r="F98" s="71" t="s">
        <v>21</v>
      </c>
      <c r="G98" s="106">
        <v>1</v>
      </c>
      <c r="H98" s="57">
        <f>C98/G98</f>
        <v>1.7975589226287253E-2</v>
      </c>
      <c r="I98" s="119">
        <f>$B$133/(SUM($B$15,$B$25,$B$35,$B$45,$B$55,$B$65,$B$75,$B$85,$B$95,$B$105)-SUM($B$20,$B$30,$B$40,$B$50,$B$60,$B$70,$B$80,$B$90,$B$100,$B$110))</f>
        <v>1.75908659901148E-2</v>
      </c>
      <c r="J98" s="56">
        <f>ABS(I98*H98)</f>
        <v>3.1620618117297043E-4</v>
      </c>
      <c r="K98" s="55">
        <v>8.9999999999999999E+99</v>
      </c>
      <c r="L98" s="112">
        <f>J98^4/IF(K98=0,1,K98)</f>
        <v>1.1108077765275725E-114</v>
      </c>
    </row>
    <row r="99" spans="1:12">
      <c r="A99" s="91" t="s">
        <v>25</v>
      </c>
      <c r="B99" s="69">
        <v>0</v>
      </c>
      <c r="C99" s="60">
        <v>0.01</v>
      </c>
      <c r="D99" s="63" t="s">
        <v>27</v>
      </c>
      <c r="E99" s="100" t="s">
        <v>24</v>
      </c>
      <c r="F99" s="62" t="s">
        <v>23</v>
      </c>
      <c r="G99" s="107">
        <f>SQRT(3)</f>
        <v>1.7320508075688772</v>
      </c>
      <c r="H99" s="57">
        <f>C99/G99</f>
        <v>5.773502691896258E-3</v>
      </c>
      <c r="I99" s="119">
        <f>$B$133/(SUM($B$15,$B$25,$B$35,$B$45,$B$55,$B$65,$B$75,$B$85,$B$95,$B$105)-SUM($B$20,$B$30,$B$40,$B$50,$B$60,$B$70,$B$80,$B$90,$B$100,$B$110))</f>
        <v>1.75908659901148E-2</v>
      </c>
      <c r="J99" s="56">
        <f>ABS(I99*H99)</f>
        <v>1.0156091214671413E-4</v>
      </c>
      <c r="K99" s="55">
        <v>8.9999999999999999E+99</v>
      </c>
      <c r="L99" s="112">
        <f>J99^4/IF(K99=0,1,K99)</f>
        <v>1.1821262506514766E-116</v>
      </c>
    </row>
    <row r="100" spans="1:12">
      <c r="A100" s="92" t="s">
        <v>74</v>
      </c>
      <c r="B100" s="88">
        <f>SUM(B97:B99)</f>
        <v>414.61</v>
      </c>
      <c r="C100" s="53"/>
      <c r="D100" s="52" t="s">
        <v>27</v>
      </c>
      <c r="E100" s="101"/>
      <c r="F100" s="61"/>
      <c r="G100" s="108"/>
      <c r="H100" s="49">
        <f>SQRT(SUMSQ(H98:H99))</f>
        <v>1.888001963361129E-2</v>
      </c>
      <c r="I100" s="120">
        <f>$B$133/(SUM($B$15,$B$25,$B$35,$B$45,$B$55,$B$65,$B$75,$B$85,$B$95,$B$105)-SUM($B$20,$B$30,$B$40,$B$50,$B$60,$B$70,$B$80,$B$90,$B$100,$B$110))</f>
        <v>1.75908659901148E-2</v>
      </c>
      <c r="J100" s="50">
        <f>ABS(I100*H100)</f>
        <v>3.3211589526559252E-4</v>
      </c>
      <c r="K100" s="47">
        <f>H100^4/(H98^4/K98+H99^4/K99)</f>
        <v>1.0837331918219471E+100</v>
      </c>
      <c r="L100" s="113">
        <f>J100^4/IF(K100=0,1,K100)</f>
        <v>1.1226290390340878E-114</v>
      </c>
    </row>
    <row r="101" spans="1:12">
      <c r="A101" s="93"/>
      <c r="B101" s="69"/>
      <c r="C101" s="60"/>
      <c r="D101" s="95"/>
      <c r="E101" s="42"/>
      <c r="F101" s="46"/>
      <c r="G101" s="44"/>
      <c r="H101" s="42"/>
      <c r="I101" s="128"/>
      <c r="J101" s="102"/>
      <c r="K101" s="64"/>
      <c r="L101" s="111"/>
    </row>
    <row r="102" spans="1:12" s="18" customFormat="1">
      <c r="A102" s="94" t="s">
        <v>75</v>
      </c>
      <c r="B102" s="87">
        <v>800.59</v>
      </c>
      <c r="C102" s="65"/>
      <c r="D102" s="68" t="s">
        <v>27</v>
      </c>
      <c r="E102" s="97"/>
      <c r="F102" s="46"/>
      <c r="G102" s="106"/>
      <c r="H102" s="42"/>
      <c r="I102" s="72"/>
      <c r="J102" s="43"/>
      <c r="K102" s="64"/>
      <c r="L102" s="111"/>
    </row>
    <row r="103" spans="1:12">
      <c r="A103" s="91" t="s">
        <v>26</v>
      </c>
      <c r="B103" s="69">
        <v>0</v>
      </c>
      <c r="C103" s="89">
        <f>0.000143*(B105^0.802)</f>
        <v>3.0469897038101185E-2</v>
      </c>
      <c r="D103" s="63" t="s">
        <v>27</v>
      </c>
      <c r="E103" s="99" t="s">
        <v>24</v>
      </c>
      <c r="F103" s="71" t="s">
        <v>21</v>
      </c>
      <c r="G103" s="106">
        <v>1</v>
      </c>
      <c r="H103" s="115">
        <f>C103/G103</f>
        <v>3.0469897038101185E-2</v>
      </c>
      <c r="I103" s="119">
        <f>-$B$133/(SUM($B$15,$B$25,$B$35,$B$45,$B$55,$B$65,$B$75,$B$85,$B$95,$B$105)-SUM($B$20,$B$30,$B$40,$B$50,$B$60,$B$70,$B$80,$B$90,$B$100,$B$110))</f>
        <v>-1.75908659901148E-2</v>
      </c>
      <c r="J103" s="56">
        <f>ABS(I103*H103)</f>
        <v>5.3599187552983384E-4</v>
      </c>
      <c r="K103" s="55">
        <v>8.9999999999999999E+99</v>
      </c>
      <c r="L103" s="112">
        <f>J103^4/IF(K103=0,1,K103)</f>
        <v>9.1704430399797785E-114</v>
      </c>
    </row>
    <row r="104" spans="1:12">
      <c r="A104" s="91" t="s">
        <v>25</v>
      </c>
      <c r="B104" s="69">
        <v>0</v>
      </c>
      <c r="C104" s="60">
        <v>0.01</v>
      </c>
      <c r="D104" s="63" t="s">
        <v>27</v>
      </c>
      <c r="E104" s="100" t="s">
        <v>24</v>
      </c>
      <c r="F104" s="62" t="s">
        <v>23</v>
      </c>
      <c r="G104" s="107">
        <f>SQRT(3)</f>
        <v>1.7320508075688772</v>
      </c>
      <c r="H104" s="57">
        <f>C104/G104</f>
        <v>5.773502691896258E-3</v>
      </c>
      <c r="I104" s="119">
        <f>-$B$133/(SUM($B$15,$B$25,$B$35,$B$45,$B$55,$B$65,$B$75,$B$85,$B$95,$B$105)-SUM($B$20,$B$30,$B$40,$B$50,$B$60,$B$70,$B$80,$B$90,$B$100,$B$110))</f>
        <v>-1.75908659901148E-2</v>
      </c>
      <c r="J104" s="56">
        <f>ABS(I104*H104)</f>
        <v>1.0156091214671413E-4</v>
      </c>
      <c r="K104" s="55">
        <v>8.9999999999999999E+99</v>
      </c>
      <c r="L104" s="112">
        <f>J104^4/IF(K104=0,1,K104)</f>
        <v>1.1821262506514766E-116</v>
      </c>
    </row>
    <row r="105" spans="1:12">
      <c r="A105" s="92" t="s">
        <v>75</v>
      </c>
      <c r="B105" s="88">
        <f>SUM(B102:B104)</f>
        <v>800.59</v>
      </c>
      <c r="C105" s="53"/>
      <c r="D105" s="52" t="s">
        <v>27</v>
      </c>
      <c r="E105" s="101"/>
      <c r="F105" s="61"/>
      <c r="G105" s="108"/>
      <c r="H105" s="49">
        <f>SQRT(SUMSQ(H103:H104))</f>
        <v>3.101206150590155E-2</v>
      </c>
      <c r="I105" s="120">
        <f>-$B$133/(SUM($B$15,$B$25,$B$35,$B$45,$B$55,$B$65,$B$75,$B$85,$B$95,$B$105)-SUM($B$20,$B$30,$B$40,$B$50,$B$60,$B$70,$B$80,$B$90,$B$100,$B$110))</f>
        <v>-1.75908659901148E-2</v>
      </c>
      <c r="J105" s="50">
        <f>ABS(I105*H105)</f>
        <v>5.4552901802751199E-4</v>
      </c>
      <c r="K105" s="47">
        <f>H105^4/(H103^4/K103+H104^4/K104)</f>
        <v>9.6454309771995422E+99</v>
      </c>
      <c r="L105" s="113">
        <f>J105^4/IF(K105=0,1,K105)</f>
        <v>9.1822643024862918E-114</v>
      </c>
    </row>
    <row r="106" spans="1:12">
      <c r="A106" s="93"/>
      <c r="B106" s="69"/>
      <c r="C106" s="60"/>
      <c r="D106" s="59"/>
      <c r="E106" s="97"/>
      <c r="F106" s="46"/>
      <c r="G106" s="106"/>
      <c r="H106" s="42"/>
      <c r="I106" s="72"/>
      <c r="J106" s="43"/>
      <c r="K106" s="64"/>
      <c r="L106" s="111"/>
    </row>
    <row r="107" spans="1:12">
      <c r="A107" s="94" t="s">
        <v>76</v>
      </c>
      <c r="B107" s="87">
        <v>440.18</v>
      </c>
      <c r="C107" s="65"/>
      <c r="D107" s="68" t="s">
        <v>27</v>
      </c>
      <c r="E107" s="97"/>
      <c r="F107" s="46"/>
      <c r="G107" s="106"/>
      <c r="H107" s="42"/>
      <c r="I107" s="72"/>
      <c r="J107" s="43"/>
      <c r="K107" s="64"/>
      <c r="L107" s="111"/>
    </row>
    <row r="108" spans="1:12">
      <c r="A108" s="91" t="s">
        <v>26</v>
      </c>
      <c r="B108" s="69">
        <v>0</v>
      </c>
      <c r="C108" s="89">
        <f>0.000143*(B110^0.802)</f>
        <v>1.8859385718567864E-2</v>
      </c>
      <c r="D108" s="63" t="s">
        <v>27</v>
      </c>
      <c r="E108" s="99" t="s">
        <v>24</v>
      </c>
      <c r="F108" s="71" t="s">
        <v>21</v>
      </c>
      <c r="G108" s="106">
        <v>1</v>
      </c>
      <c r="H108" s="57">
        <f>C108/G108</f>
        <v>1.8859385718567864E-2</v>
      </c>
      <c r="I108" s="119">
        <f>$B$133/(SUM($B$15,$B$25,$B$35,$B$45,$B$55,$B$65,$B$75,$B$85,$B$95,$B$105)-SUM($B$20,$B$30,$B$40,$B$50,$B$60,$B$70,$B$80,$B$90,$B$100,$B$110))</f>
        <v>1.75908659901148E-2</v>
      </c>
      <c r="J108" s="56">
        <f>ABS(I108*H108)</f>
        <v>3.3175292683121219E-4</v>
      </c>
      <c r="K108" s="55">
        <v>8.9999999999999999E+99</v>
      </c>
      <c r="L108" s="112">
        <f>J108^4/IF(K108=0,1,K108)</f>
        <v>1.3459116202191096E-114</v>
      </c>
    </row>
    <row r="109" spans="1:12">
      <c r="A109" s="91" t="s">
        <v>25</v>
      </c>
      <c r="B109" s="69">
        <v>0</v>
      </c>
      <c r="C109" s="60">
        <v>0.01</v>
      </c>
      <c r="D109" s="63" t="s">
        <v>27</v>
      </c>
      <c r="E109" s="100" t="s">
        <v>24</v>
      </c>
      <c r="F109" s="62" t="s">
        <v>23</v>
      </c>
      <c r="G109" s="107">
        <f>SQRT(3)</f>
        <v>1.7320508075688772</v>
      </c>
      <c r="H109" s="57">
        <f>C109/G109</f>
        <v>5.773502691896258E-3</v>
      </c>
      <c r="I109" s="119">
        <f>$B$133/(SUM($B$15,$B$25,$B$35,$B$45,$B$55,$B$65,$B$75,$B$85,$B$95,$B$105)-SUM($B$20,$B$30,$B$40,$B$50,$B$60,$B$70,$B$80,$B$90,$B$100,$B$110))</f>
        <v>1.75908659901148E-2</v>
      </c>
      <c r="J109" s="56">
        <f>ABS(I109*H109)</f>
        <v>1.0156091214671413E-4</v>
      </c>
      <c r="K109" s="55">
        <v>8.9999999999999999E+99</v>
      </c>
      <c r="L109" s="112">
        <f>J109^4/IF(K109=0,1,K109)</f>
        <v>1.1821262506514766E-116</v>
      </c>
    </row>
    <row r="110" spans="1:12">
      <c r="A110" s="92" t="s">
        <v>76</v>
      </c>
      <c r="B110" s="88">
        <f>SUM(B107:B109)</f>
        <v>440.18</v>
      </c>
      <c r="C110" s="53"/>
      <c r="D110" s="52" t="s">
        <v>27</v>
      </c>
      <c r="E110" s="101"/>
      <c r="F110" s="61"/>
      <c r="G110" s="108"/>
      <c r="H110" s="49">
        <f>SQRT(SUMSQ(H108:H109))</f>
        <v>1.9723330424019542E-2</v>
      </c>
      <c r="I110" s="120">
        <f>$B$133/(SUM($B$15,$B$25,$B$35,$B$45,$B$55,$B$65,$B$75,$B$85,$B$95,$B$105)-SUM($B$20,$B$30,$B$40,$B$50,$B$60,$B$70,$B$80,$B$90,$B$100,$B$110))</f>
        <v>1.75908659901148E-2</v>
      </c>
      <c r="J110" s="50">
        <f>ABS(I110*H110)</f>
        <v>3.4695046236768191E-4</v>
      </c>
      <c r="K110" s="47">
        <f>H110^4/(H108^4/K108+H109^4/K109)</f>
        <v>1.0672239089084886E+100</v>
      </c>
      <c r="L110" s="113">
        <f>J110^4/IF(K110=0,1,K110)</f>
        <v>1.3577328827256249E-114</v>
      </c>
    </row>
    <row r="111" spans="1:12">
      <c r="A111" s="93"/>
      <c r="B111" s="60"/>
      <c r="C111" s="60"/>
      <c r="D111" s="59"/>
      <c r="E111" s="103"/>
      <c r="F111" s="58"/>
      <c r="G111" s="107"/>
      <c r="H111" s="57"/>
      <c r="I111" s="110"/>
      <c r="J111" s="56"/>
      <c r="K111" s="55"/>
      <c r="L111" s="112"/>
    </row>
    <row r="112" spans="1:12" s="86" customFormat="1">
      <c r="A112" s="94" t="s">
        <v>78</v>
      </c>
      <c r="B112" s="66">
        <v>47.136400000000002</v>
      </c>
      <c r="C112" s="65"/>
      <c r="D112" s="68" t="s">
        <v>27</v>
      </c>
      <c r="E112" s="97"/>
      <c r="F112" s="46"/>
      <c r="G112" s="106"/>
      <c r="H112" s="42"/>
      <c r="I112" s="72"/>
      <c r="J112" s="43"/>
      <c r="K112" s="64"/>
      <c r="L112" s="111"/>
    </row>
    <row r="113" spans="1:12" s="86" customFormat="1">
      <c r="A113" s="91" t="s">
        <v>26</v>
      </c>
      <c r="B113" s="69">
        <v>0</v>
      </c>
      <c r="C113" s="89">
        <f>0.0000000161*(B115^2) -0.00000104*B115+0.0000576</f>
        <v>4.4349771299856E-5</v>
      </c>
      <c r="D113" s="63" t="s">
        <v>27</v>
      </c>
      <c r="E113" s="99" t="s">
        <v>24</v>
      </c>
      <c r="F113" s="71" t="s">
        <v>21</v>
      </c>
      <c r="G113" s="106">
        <v>1</v>
      </c>
      <c r="H113" s="57">
        <f>C113/G113</f>
        <v>4.4349771299856E-5</v>
      </c>
      <c r="I113" s="116">
        <f>$B$133/($B$115-$B$120)</f>
        <v>288.2592026750454</v>
      </c>
      <c r="J113" s="56">
        <f>ABS(I113*H113)</f>
        <v>1.2784229713717102E-2</v>
      </c>
      <c r="K113" s="55">
        <v>8.9999999999999999E+99</v>
      </c>
      <c r="L113" s="112">
        <f>J113^4/IF(K113=0,1,K113)</f>
        <v>2.9679443481688904E-108</v>
      </c>
    </row>
    <row r="114" spans="1:12" s="86" customFormat="1">
      <c r="A114" s="91" t="s">
        <v>25</v>
      </c>
      <c r="B114" s="69">
        <v>0</v>
      </c>
      <c r="C114" s="60">
        <v>1E-4</v>
      </c>
      <c r="D114" s="63" t="s">
        <v>27</v>
      </c>
      <c r="E114" s="100" t="s">
        <v>24</v>
      </c>
      <c r="F114" s="62" t="s">
        <v>23</v>
      </c>
      <c r="G114" s="107">
        <f>SQRT(3)</f>
        <v>1.7320508075688772</v>
      </c>
      <c r="H114" s="57">
        <f>C114/G114</f>
        <v>5.7735026918962585E-5</v>
      </c>
      <c r="I114" s="116">
        <f>$B$133/($B$115-$B$120)</f>
        <v>288.2592026750454</v>
      </c>
      <c r="J114" s="56">
        <f>ABS(I114*H114)</f>
        <v>1.6642652826082439E-2</v>
      </c>
      <c r="K114" s="55">
        <v>8.9999999999999999E+99</v>
      </c>
      <c r="L114" s="112">
        <f>J114^4/IF(K114=0,1,K114)</f>
        <v>8.5240836955893254E-108</v>
      </c>
    </row>
    <row r="115" spans="1:12" s="86" customFormat="1">
      <c r="A115" s="92" t="s">
        <v>78</v>
      </c>
      <c r="B115" s="70">
        <f>SUM(B112:B114)</f>
        <v>47.136400000000002</v>
      </c>
      <c r="C115" s="53"/>
      <c r="D115" s="52" t="s">
        <v>27</v>
      </c>
      <c r="E115" s="101"/>
      <c r="F115" s="61"/>
      <c r="G115" s="108"/>
      <c r="H115" s="49">
        <f>SQRT(SUMSQ(H113:H114))</f>
        <v>7.2802716622958957E-5</v>
      </c>
      <c r="I115" s="121">
        <f>$B$133/($B$115-$B$120)</f>
        <v>288.2592026750454</v>
      </c>
      <c r="J115" s="50">
        <f>ABS(I115*H115)</f>
        <v>2.0986053046311424E-2</v>
      </c>
      <c r="K115" s="47">
        <f>H115^4/(H113^4/K113+H114^4/K114)</f>
        <v>1.6878210075236724E+100</v>
      </c>
      <c r="L115" s="113">
        <f>J115^4/IF(K115=0,1,K115)</f>
        <v>1.1492028043758215E-107</v>
      </c>
    </row>
    <row r="116" spans="1:12" s="86" customFormat="1">
      <c r="A116" s="93"/>
      <c r="B116" s="69"/>
      <c r="C116" s="60"/>
      <c r="D116" s="59"/>
      <c r="E116" s="97"/>
      <c r="F116" s="46"/>
      <c r="G116" s="106"/>
      <c r="H116" s="42"/>
      <c r="I116" s="72"/>
      <c r="J116" s="43"/>
      <c r="K116" s="64"/>
      <c r="L116" s="111"/>
    </row>
    <row r="117" spans="1:12" s="86" customFormat="1">
      <c r="A117" s="94" t="s">
        <v>77</v>
      </c>
      <c r="B117" s="66">
        <v>46.924700000000001</v>
      </c>
      <c r="C117" s="65"/>
      <c r="D117" s="68" t="s">
        <v>27</v>
      </c>
      <c r="E117" s="97"/>
      <c r="F117" s="46"/>
      <c r="G117" s="106"/>
      <c r="H117" s="42"/>
      <c r="I117" s="72"/>
      <c r="J117" s="43"/>
      <c r="K117" s="64"/>
      <c r="L117" s="111"/>
    </row>
    <row r="118" spans="1:12" s="86" customFormat="1">
      <c r="A118" s="91" t="s">
        <v>26</v>
      </c>
      <c r="B118" s="69">
        <v>0</v>
      </c>
      <c r="C118" s="89">
        <f>0.0000000161*(B120^2) -0.00000104*B120+0.0000576</f>
        <v>4.424934426844899E-5</v>
      </c>
      <c r="D118" s="63" t="s">
        <v>27</v>
      </c>
      <c r="E118" s="99" t="s">
        <v>24</v>
      </c>
      <c r="F118" s="71" t="s">
        <v>21</v>
      </c>
      <c r="G118" s="106">
        <v>1</v>
      </c>
      <c r="H118" s="57">
        <f>C118/G118</f>
        <v>4.424934426844899E-5</v>
      </c>
      <c r="I118" s="116">
        <f t="shared" ref="I118:I120" si="0">-$B$133/($B$115-$B$120)</f>
        <v>-288.2592026750454</v>
      </c>
      <c r="J118" s="56">
        <f>ABS(I118*H118)</f>
        <v>1.2755280697716696E-2</v>
      </c>
      <c r="K118" s="55">
        <v>8.9999999999999999E+99</v>
      </c>
      <c r="L118" s="112">
        <f>J118^4/IF(K118=0,1,K118)</f>
        <v>2.9411526919325849E-108</v>
      </c>
    </row>
    <row r="119" spans="1:12" s="86" customFormat="1">
      <c r="A119" s="91" t="s">
        <v>25</v>
      </c>
      <c r="B119" s="69">
        <v>0</v>
      </c>
      <c r="C119" s="60">
        <v>1E-4</v>
      </c>
      <c r="D119" s="63" t="s">
        <v>27</v>
      </c>
      <c r="E119" s="100" t="s">
        <v>24</v>
      </c>
      <c r="F119" s="62" t="s">
        <v>23</v>
      </c>
      <c r="G119" s="107">
        <f>SQRT(3)</f>
        <v>1.7320508075688772</v>
      </c>
      <c r="H119" s="57">
        <f>C119/G119</f>
        <v>5.7735026918962585E-5</v>
      </c>
      <c r="I119" s="116">
        <f t="shared" si="0"/>
        <v>-288.2592026750454</v>
      </c>
      <c r="J119" s="56">
        <f>ABS(I119*H119)</f>
        <v>1.6642652826082439E-2</v>
      </c>
      <c r="K119" s="55">
        <v>8.9999999999999999E+99</v>
      </c>
      <c r="L119" s="112">
        <f>J119^4/IF(K119=0,1,K119)</f>
        <v>8.5240836955893254E-108</v>
      </c>
    </row>
    <row r="120" spans="1:12" s="86" customFormat="1">
      <c r="A120" s="92" t="s">
        <v>77</v>
      </c>
      <c r="B120" s="70">
        <f>SUM(B117:B119)</f>
        <v>46.924700000000001</v>
      </c>
      <c r="C120" s="53"/>
      <c r="D120" s="52" t="s">
        <v>27</v>
      </c>
      <c r="E120" s="101"/>
      <c r="F120" s="61"/>
      <c r="G120" s="108"/>
      <c r="H120" s="49">
        <f>SQRT(SUMSQ(H118:H119))</f>
        <v>7.274158234133386E-5</v>
      </c>
      <c r="I120" s="121">
        <f t="shared" si="0"/>
        <v>-288.2592026750454</v>
      </c>
      <c r="J120" s="50">
        <f>ABS(I120*H120)</f>
        <v>2.0968430527034062E-2</v>
      </c>
      <c r="K120" s="47">
        <f>H120^4/(H118^4/K118+H119^4/K119)</f>
        <v>1.6860897442917696E+100</v>
      </c>
      <c r="L120" s="113">
        <f>J120^4/IF(K120=0,1,K120)</f>
        <v>1.146523638752191E-107</v>
      </c>
    </row>
    <row r="121" spans="1:12" s="86" customFormat="1">
      <c r="A121" s="91"/>
      <c r="B121" s="123"/>
      <c r="C121" s="60"/>
      <c r="D121" s="63"/>
      <c r="E121" s="103"/>
      <c r="F121" s="58"/>
      <c r="G121" s="107"/>
      <c r="H121" s="57"/>
      <c r="I121" s="124"/>
      <c r="J121" s="56"/>
      <c r="K121" s="55"/>
      <c r="L121" s="112"/>
    </row>
    <row r="122" spans="1:12" s="86" customFormat="1">
      <c r="A122" s="94" t="s">
        <v>53</v>
      </c>
      <c r="B122" s="87">
        <v>1</v>
      </c>
      <c r="C122" s="65"/>
      <c r="D122" s="68"/>
      <c r="E122" s="103"/>
      <c r="F122" s="58"/>
      <c r="G122" s="107"/>
      <c r="H122" s="57"/>
      <c r="I122" s="124"/>
      <c r="J122" s="56"/>
      <c r="K122" s="55"/>
      <c r="L122" s="112"/>
    </row>
    <row r="123" spans="1:12" s="86" customFormat="1">
      <c r="A123" s="91" t="s">
        <v>25</v>
      </c>
      <c r="B123" s="69">
        <v>0</v>
      </c>
      <c r="C123" s="60">
        <v>0.01</v>
      </c>
      <c r="D123" s="63" t="s">
        <v>27</v>
      </c>
      <c r="E123" s="100" t="s">
        <v>24</v>
      </c>
      <c r="F123" s="62" t="s">
        <v>23</v>
      </c>
      <c r="G123" s="107">
        <f>SQRT(3)</f>
        <v>1.7320508075688772</v>
      </c>
      <c r="H123" s="125">
        <f>C123/G123</f>
        <v>5.773502691896258E-3</v>
      </c>
      <c r="I123" s="124">
        <f>$B$133/B124</f>
        <v>61.024473206307242</v>
      </c>
      <c r="J123" s="56">
        <f>ABS(I123*H123)</f>
        <v>0.3523249603281659</v>
      </c>
      <c r="K123" s="55">
        <v>8.9999999999999999E+99</v>
      </c>
      <c r="L123" s="112">
        <f>J123^4/IF(K123=0,1,K123)</f>
        <v>1.7121079242995203E-102</v>
      </c>
    </row>
    <row r="124" spans="1:12" s="86" customFormat="1">
      <c r="A124" s="92" t="s">
        <v>54</v>
      </c>
      <c r="B124" s="70">
        <f>B122+B123</f>
        <v>1</v>
      </c>
      <c r="C124" s="126"/>
      <c r="D124" s="126" t="s">
        <v>55</v>
      </c>
      <c r="E124" s="101"/>
      <c r="F124" s="61"/>
      <c r="G124" s="108"/>
      <c r="H124" s="127">
        <f>H123</f>
        <v>5.773502691896258E-3</v>
      </c>
      <c r="I124" s="121">
        <f>$B$133/B124</f>
        <v>61.024473206307242</v>
      </c>
      <c r="J124" s="50">
        <f>ABS(I124*H124)</f>
        <v>0.3523249603281659</v>
      </c>
      <c r="K124" s="47">
        <f>H124^4/(H123^4/K123)</f>
        <v>8.9999999999999999E+99</v>
      </c>
      <c r="L124" s="113">
        <f>J124^4/IF(K124=0,1,K124)</f>
        <v>1.7121079242995203E-102</v>
      </c>
    </row>
    <row r="125" spans="1:12" s="86" customFormat="1">
      <c r="A125" s="93"/>
      <c r="B125" s="60"/>
      <c r="C125" s="60"/>
      <c r="D125" s="59"/>
      <c r="E125" s="103"/>
      <c r="F125" s="58"/>
      <c r="G125" s="107"/>
      <c r="H125" s="57"/>
      <c r="I125" s="110"/>
      <c r="J125" s="56"/>
      <c r="K125" s="55"/>
      <c r="L125" s="112"/>
    </row>
    <row r="126" spans="1:12" s="86" customFormat="1">
      <c r="A126" s="96" t="s">
        <v>56</v>
      </c>
      <c r="B126" s="54">
        <v>0</v>
      </c>
      <c r="C126" s="70">
        <f>0.000058*B133^2+0.0021*B133+1.6</f>
        <v>1.9441426008794693</v>
      </c>
      <c r="D126" s="52" t="s">
        <v>2</v>
      </c>
      <c r="E126" s="104" t="s">
        <v>22</v>
      </c>
      <c r="F126" s="51" t="s">
        <v>21</v>
      </c>
      <c r="G126" s="108">
        <v>1</v>
      </c>
      <c r="H126" s="49">
        <f>C126/G126</f>
        <v>1.9441426008794693</v>
      </c>
      <c r="I126" s="67">
        <v>1</v>
      </c>
      <c r="J126" s="48">
        <f>ABS(I126*H126)</f>
        <v>1.9441426008794693</v>
      </c>
      <c r="K126" s="47">
        <v>6</v>
      </c>
      <c r="L126" s="113">
        <f>J126^4/IF(K126=0,1,K126)</f>
        <v>2.3810099861884653</v>
      </c>
    </row>
    <row r="127" spans="1:12" ht="13" thickBot="1">
      <c r="A127" s="97"/>
      <c r="B127" s="46"/>
      <c r="C127" s="46"/>
      <c r="D127" s="43"/>
      <c r="E127" s="97"/>
      <c r="F127" s="45"/>
      <c r="G127" s="106"/>
      <c r="H127" s="42"/>
      <c r="I127" s="44"/>
      <c r="J127" s="43"/>
      <c r="K127" s="42"/>
      <c r="L127" s="111"/>
    </row>
    <row r="128" spans="1:12" ht="13" thickBot="1">
      <c r="A128" s="98" t="s">
        <v>20</v>
      </c>
      <c r="B128" s="40"/>
      <c r="C128" s="40"/>
      <c r="D128" s="41"/>
      <c r="E128" s="39"/>
      <c r="F128" s="40"/>
      <c r="G128" s="109"/>
      <c r="H128" s="39"/>
      <c r="I128" s="40"/>
      <c r="J128" s="122">
        <f>SQRT(SUMSQ(J15,J20,J25,J30,J40,J45,J50,J55,J60,J65,J70,J75,J80,J85,J90,J95,J100,J105,J110,J115,J120,J124,J126))</f>
        <v>1.976033163927005</v>
      </c>
      <c r="K128" s="39"/>
      <c r="L128" s="114">
        <f>SUM(L15,L20,L25,L30,L35,L40,L45,L50,L55,L60,L65,L70,L75,L80,L85,L90,L95,L100,L105,L110,L115,L120,L124,L126)</f>
        <v>2.3810099861884653</v>
      </c>
    </row>
    <row r="129" spans="1:12">
      <c r="F129" s="22"/>
      <c r="G129" s="22"/>
      <c r="H129" s="18"/>
      <c r="I129" s="18"/>
      <c r="J129" s="22"/>
      <c r="K129" s="18"/>
      <c r="L129" s="22"/>
    </row>
    <row r="130" spans="1:12" ht="13" thickBot="1">
      <c r="F130" s="18"/>
      <c r="G130" s="18"/>
      <c r="H130" s="18"/>
      <c r="I130" s="18"/>
      <c r="J130" s="18"/>
      <c r="K130" s="18"/>
      <c r="L130" s="15"/>
    </row>
    <row r="131" spans="1:12" ht="51" customHeight="1">
      <c r="A131" s="38" t="s">
        <v>109</v>
      </c>
      <c r="B131" s="36" t="s">
        <v>19</v>
      </c>
      <c r="C131" s="37" t="s">
        <v>18</v>
      </c>
      <c r="D131" s="144" t="s">
        <v>17</v>
      </c>
      <c r="E131" s="144"/>
      <c r="F131" s="144" t="s">
        <v>16</v>
      </c>
      <c r="G131" s="144"/>
      <c r="H131" s="144" t="s">
        <v>15</v>
      </c>
      <c r="I131" s="144"/>
      <c r="J131" s="135" t="s">
        <v>14</v>
      </c>
      <c r="K131" s="135" t="s">
        <v>13</v>
      </c>
      <c r="L131" s="81" t="s">
        <v>12</v>
      </c>
    </row>
    <row r="132" spans="1:12" ht="15" thickBot="1">
      <c r="A132" s="35" t="s">
        <v>11</v>
      </c>
      <c r="B132" s="34" t="s">
        <v>10</v>
      </c>
      <c r="C132" s="33" t="s">
        <v>9</v>
      </c>
      <c r="D132" s="148" t="s">
        <v>8</v>
      </c>
      <c r="E132" s="148"/>
      <c r="F132" s="148" t="s">
        <v>7</v>
      </c>
      <c r="G132" s="149"/>
      <c r="H132" s="148" t="s">
        <v>6</v>
      </c>
      <c r="I132" s="149"/>
      <c r="J132" s="137" t="s">
        <v>5</v>
      </c>
      <c r="K132" s="143" t="s">
        <v>4</v>
      </c>
      <c r="L132" s="32" t="s">
        <v>3</v>
      </c>
    </row>
    <row r="133" spans="1:12" ht="18" customHeight="1" thickTop="1" thickBot="1">
      <c r="A133" s="31" t="s">
        <v>2</v>
      </c>
      <c r="B133" s="29">
        <f>((B115-B120)/(SUM($B$15,$B$25,$B$35,$B$45,$B$55,$B$65,$B$75,$B$85,$B$95,$B$105)-SUM($B$20,$B$30,$B$40,$B$50,$B$60,$B$70,$B$80,$B$90,$B$100,$B$110))*1000000*1)</f>
        <v>61.024473206307242</v>
      </c>
      <c r="C133" s="30">
        <f>J128</f>
        <v>1.976033163927005</v>
      </c>
      <c r="D133" s="145">
        <f>C133^4/L128</f>
        <v>6.4034747235119731</v>
      </c>
      <c r="E133" s="145"/>
      <c r="F133" s="146">
        <v>95</v>
      </c>
      <c r="G133" s="146"/>
      <c r="H133" s="147">
        <f>TINV(1-F133/100,D133)</f>
        <v>2.4469118511449688</v>
      </c>
      <c r="I133" s="147"/>
      <c r="J133" s="136">
        <f>H133*C133</f>
        <v>4.8351789670684777</v>
      </c>
      <c r="K133" s="136">
        <f>C133/B133*100</f>
        <v>3.2380995035329043</v>
      </c>
      <c r="L133" s="28">
        <f>J133/B133*100</f>
        <v>7.9233440503813037</v>
      </c>
    </row>
    <row r="134" spans="1:12" ht="15">
      <c r="A134" s="27" t="s">
        <v>1</v>
      </c>
      <c r="B134" s="22"/>
      <c r="C134" s="26"/>
      <c r="D134" s="25"/>
      <c r="E134" s="22"/>
      <c r="F134" s="24"/>
      <c r="G134" s="23"/>
      <c r="H134" s="22"/>
      <c r="I134" s="24"/>
      <c r="J134" s="23"/>
      <c r="K134" s="22"/>
      <c r="L134" s="21"/>
    </row>
    <row r="135" spans="1:12">
      <c r="A135" s="20"/>
      <c r="B135" s="19" t="s">
        <v>0</v>
      </c>
      <c r="C135" s="18"/>
      <c r="D135" s="18"/>
      <c r="F135" s="2"/>
      <c r="G135" s="18"/>
      <c r="H135" s="18"/>
      <c r="I135" s="18"/>
      <c r="J135" s="18"/>
      <c r="K135" s="18"/>
      <c r="L135" s="17"/>
    </row>
    <row r="136" spans="1:12" ht="13" thickBot="1">
      <c r="A136" s="16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4"/>
    </row>
    <row r="138" spans="1:12">
      <c r="A138" s="2"/>
    </row>
    <row r="139" spans="1:12">
      <c r="A139" s="2"/>
      <c r="E139" s="2"/>
    </row>
    <row r="140" spans="1:12" ht="20">
      <c r="A140" s="13" t="s">
        <v>102</v>
      </c>
      <c r="E140" s="2"/>
    </row>
    <row r="141" spans="1:12">
      <c r="A141" s="2"/>
      <c r="E141" s="2"/>
      <c r="G141" s="12"/>
    </row>
    <row r="142" spans="1:12">
      <c r="A142" s="2"/>
      <c r="E142" s="2"/>
    </row>
    <row r="143" spans="1:12" ht="18">
      <c r="A143" s="138" t="s">
        <v>104</v>
      </c>
      <c r="B143" s="139">
        <f>C133</f>
        <v>1.976033163927005</v>
      </c>
    </row>
    <row r="144" spans="1:12" ht="18">
      <c r="A144" s="138" t="s">
        <v>105</v>
      </c>
      <c r="B144" s="140">
        <f>J126</f>
        <v>1.9441426008794693</v>
      </c>
    </row>
    <row r="145" spans="1:11" ht="18">
      <c r="A145" s="138" t="s">
        <v>106</v>
      </c>
      <c r="B145" s="140">
        <f>J123</f>
        <v>0.3523249603281659</v>
      </c>
      <c r="K145" s="2"/>
    </row>
    <row r="146" spans="1:11" ht="18">
      <c r="A146" s="141" t="s">
        <v>107</v>
      </c>
      <c r="B146" s="140">
        <f>SQRT(SUMSQ(J115,J120))</f>
        <v>2.9666302452945683E-2</v>
      </c>
      <c r="C146" s="11"/>
    </row>
    <row r="147" spans="1:11" ht="18">
      <c r="A147" s="141" t="s">
        <v>108</v>
      </c>
      <c r="B147" s="142">
        <f>SQRT(SUMSQ(J15,J20,J25,J30,J35,J40,J45,J50,J55,J60,J65,J70,J75,J80,J85,J90,J95,J100,J105,J110))</f>
        <v>1.9742967602587396E-3</v>
      </c>
    </row>
    <row r="148" spans="1:11">
      <c r="A148" s="10"/>
      <c r="B148" s="9"/>
      <c r="C148" s="9"/>
    </row>
    <row r="149" spans="1:11">
      <c r="A149" s="10"/>
      <c r="B149" s="9"/>
      <c r="C149" s="9"/>
    </row>
    <row r="150" spans="1:11">
      <c r="A150" s="3"/>
      <c r="B150" s="2"/>
      <c r="C150" s="6"/>
    </row>
    <row r="151" spans="1:11">
      <c r="A151" s="9"/>
      <c r="B151" s="9"/>
      <c r="C151" s="6"/>
    </row>
    <row r="152" spans="1:11">
      <c r="A152" s="9"/>
      <c r="B152" s="4"/>
      <c r="C152" s="6"/>
    </row>
    <row r="153" spans="1:11">
      <c r="A153" s="9"/>
      <c r="B153" s="5"/>
      <c r="C153" s="6"/>
    </row>
    <row r="154" spans="1:11">
      <c r="A154" s="3"/>
      <c r="B154" s="4"/>
      <c r="C154" s="6"/>
    </row>
    <row r="155" spans="1:11">
      <c r="A155" s="9"/>
      <c r="B155" s="5"/>
      <c r="C155" s="6"/>
    </row>
    <row r="156" spans="1:11">
      <c r="A156" s="3"/>
      <c r="B156" s="4"/>
    </row>
    <row r="157" spans="1:11">
      <c r="A157" s="3"/>
      <c r="B157" s="4"/>
    </row>
    <row r="158" spans="1:11">
      <c r="B158" s="8"/>
      <c r="C158" s="6"/>
    </row>
    <row r="159" spans="1:11">
      <c r="A159" s="3"/>
      <c r="B159" s="7"/>
      <c r="C159" s="6"/>
    </row>
    <row r="160" spans="1:11">
      <c r="B160" s="8"/>
      <c r="C160" s="6"/>
    </row>
    <row r="161" spans="1:9">
      <c r="A161" s="3"/>
      <c r="B161" s="7"/>
      <c r="C161" s="6"/>
    </row>
    <row r="162" spans="1:9">
      <c r="B162" s="8"/>
      <c r="C162" s="6"/>
    </row>
    <row r="163" spans="1:9">
      <c r="A163" s="3"/>
      <c r="B163" s="7"/>
      <c r="C163" s="6"/>
    </row>
    <row r="164" spans="1:9">
      <c r="B164" s="5"/>
    </row>
    <row r="165" spans="1:9" ht="18">
      <c r="A165" s="134" t="s">
        <v>83</v>
      </c>
      <c r="B165" s="4"/>
      <c r="I165" s="13" t="s">
        <v>103</v>
      </c>
    </row>
    <row r="167" spans="1:9">
      <c r="A167" s="3"/>
      <c r="B167" s="4"/>
    </row>
    <row r="168" spans="1:9" ht="14">
      <c r="H168"/>
    </row>
    <row r="169" spans="1:9" ht="14">
      <c r="A169" s="3"/>
      <c r="B169"/>
    </row>
    <row r="171" spans="1:9">
      <c r="A171" s="3"/>
      <c r="B171" s="4"/>
    </row>
    <row r="172" spans="1:9">
      <c r="A172" s="3"/>
      <c r="B172" s="2"/>
    </row>
    <row r="173" spans="1:9">
      <c r="A173" s="3"/>
      <c r="B173" s="2"/>
    </row>
    <row r="174" spans="1:9">
      <c r="A174" s="3"/>
      <c r="B174" s="2"/>
    </row>
    <row r="175" spans="1:9" ht="17">
      <c r="A175" s="131" t="s">
        <v>88</v>
      </c>
      <c r="B175" s="132" t="s">
        <v>92</v>
      </c>
    </row>
    <row r="176" spans="1:9" ht="17">
      <c r="A176" s="131" t="s">
        <v>87</v>
      </c>
      <c r="B176" s="132" t="s">
        <v>93</v>
      </c>
    </row>
    <row r="177" spans="1:2" ht="17">
      <c r="A177" s="131" t="s">
        <v>86</v>
      </c>
      <c r="B177" s="132" t="s">
        <v>94</v>
      </c>
    </row>
    <row r="178" spans="1:2" ht="17">
      <c r="A178" s="131" t="s">
        <v>85</v>
      </c>
      <c r="B178" s="132" t="s">
        <v>95</v>
      </c>
    </row>
    <row r="179" spans="1:2" ht="17">
      <c r="A179" s="131" t="s">
        <v>84</v>
      </c>
      <c r="B179" s="132" t="s">
        <v>96</v>
      </c>
    </row>
    <row r="180" spans="1:2" ht="15">
      <c r="A180" s="133" t="s">
        <v>99</v>
      </c>
      <c r="B180" s="132" t="s">
        <v>97</v>
      </c>
    </row>
    <row r="181" spans="1:2" ht="17">
      <c r="A181" s="131" t="s">
        <v>89</v>
      </c>
      <c r="B181" s="132" t="s">
        <v>98</v>
      </c>
    </row>
    <row r="182" spans="1:2" ht="17">
      <c r="A182" s="131" t="s">
        <v>90</v>
      </c>
      <c r="B182" s="132" t="s">
        <v>100</v>
      </c>
    </row>
    <row r="183" spans="1:2" ht="15">
      <c r="A183" s="131" t="s">
        <v>91</v>
      </c>
      <c r="B183" s="132" t="s">
        <v>101</v>
      </c>
    </row>
  </sheetData>
  <mergeCells count="24">
    <mergeCell ref="L8:L11"/>
    <mergeCell ref="D10:D11"/>
    <mergeCell ref="E10:E11"/>
    <mergeCell ref="F10:F11"/>
    <mergeCell ref="G10:G11"/>
    <mergeCell ref="K8:K11"/>
    <mergeCell ref="E9:G9"/>
    <mergeCell ref="A8:D9"/>
    <mergeCell ref="E8:G8"/>
    <mergeCell ref="H8:J8"/>
    <mergeCell ref="A10:A11"/>
    <mergeCell ref="B10:B11"/>
    <mergeCell ref="C10:C11"/>
    <mergeCell ref="H9:J9"/>
    <mergeCell ref="H10:H11"/>
    <mergeCell ref="H131:I131"/>
    <mergeCell ref="D133:E133"/>
    <mergeCell ref="F133:G133"/>
    <mergeCell ref="H133:I133"/>
    <mergeCell ref="D131:E131"/>
    <mergeCell ref="F131:G131"/>
    <mergeCell ref="D132:E132"/>
    <mergeCell ref="F132:G132"/>
    <mergeCell ref="H132:I132"/>
  </mergeCells>
  <pageMargins left="0.78740157480314965" right="0.78740157480314965" top="0.98425196850393704" bottom="0.98425196850393704" header="0.51181102362204722" footer="0.51181102362204722"/>
  <pageSetup paperSize="9" orientation="landscape" verticalDpi="0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DSMT4" shapeId="2475" r:id="rId3">
          <objectPr defaultSize="0" autoPict="0" r:id="rId4">
            <anchor moveWithCells="1" sizeWithCells="1">
              <from>
                <xdr:col>0</xdr:col>
                <xdr:colOff>139700</xdr:colOff>
                <xdr:row>165</xdr:row>
                <xdr:rowOff>63500</xdr:rowOff>
              </from>
              <to>
                <xdr:col>6</xdr:col>
                <xdr:colOff>812800</xdr:colOff>
                <xdr:row>172</xdr:row>
                <xdr:rowOff>114300</xdr:rowOff>
              </to>
            </anchor>
          </objectPr>
        </oleObject>
      </mc:Choice>
      <mc:Fallback>
        <oleObject progId="Equation.DSMT4" shapeId="2475" r:id="rId3"/>
      </mc:Fallback>
    </mc:AlternateContent>
    <mc:AlternateContent xmlns:mc="http://schemas.openxmlformats.org/markup-compatibility/2006">
      <mc:Choice Requires="x14">
        <oleObject progId="CorelPHOTOPAINT.Image.15" shapeId="2485" r:id="rId5">
          <objectPr defaultSize="0" autoPict="0" r:id="rId6">
            <anchor moveWithCells="1" sizeWithCells="1">
              <from>
                <xdr:col>7</xdr:col>
                <xdr:colOff>330200</xdr:colOff>
                <xdr:row>167</xdr:row>
                <xdr:rowOff>0</xdr:rowOff>
              </from>
              <to>
                <xdr:col>14</xdr:col>
                <xdr:colOff>203200</xdr:colOff>
                <xdr:row>177</xdr:row>
                <xdr:rowOff>38100</xdr:rowOff>
              </to>
            </anchor>
          </objectPr>
        </oleObject>
      </mc:Choice>
      <mc:Fallback>
        <oleObject progId="CorelPHOTOPAINT.Image.15" shapeId="2485" r:id="rId5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 Incert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Welington F. MAGALHÃES</dc:creator>
  <cp:lastModifiedBy>Fernando de Carvalho da Silva</cp:lastModifiedBy>
  <cp:lastPrinted>2014-04-25T21:04:27Z</cp:lastPrinted>
  <dcterms:created xsi:type="dcterms:W3CDTF">2014-04-25T12:04:11Z</dcterms:created>
  <dcterms:modified xsi:type="dcterms:W3CDTF">2016-04-24T23:54:02Z</dcterms:modified>
</cp:coreProperties>
</file>